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0920" activeTab="4"/>
  </bookViews>
  <sheets>
    <sheet name="2013" sheetId="1" r:id="rId1"/>
    <sheet name="2014" sheetId="2" r:id="rId2"/>
    <sheet name="2015" sheetId="3" r:id="rId3"/>
    <sheet name="2016" sheetId="4" r:id="rId4"/>
    <sheet name="2017" sheetId="5" r:id="rId5"/>
  </sheets>
  <calcPr calcId="125725"/>
</workbook>
</file>

<file path=xl/calcChain.xml><?xml version="1.0" encoding="utf-8"?>
<calcChain xmlns="http://schemas.openxmlformats.org/spreadsheetml/2006/main">
  <c r="AN58" i="5"/>
  <c r="S29" l="1"/>
  <c r="S47"/>
  <c r="M50"/>
  <c r="AN51"/>
  <c r="D51"/>
  <c r="H213"/>
  <c r="E139"/>
  <c r="E171"/>
  <c r="E169"/>
  <c r="G28"/>
  <c r="E110"/>
  <c r="E104"/>
  <c r="E102"/>
  <c r="E113"/>
  <c r="E157"/>
  <c r="AN158"/>
  <c r="AN157"/>
  <c r="E150"/>
  <c r="E149"/>
  <c r="E148"/>
  <c r="AN218" l="1"/>
  <c r="AN217"/>
  <c r="AN216"/>
  <c r="AN215"/>
  <c r="AN214"/>
  <c r="AL214"/>
  <c r="AI214"/>
  <c r="AF214"/>
  <c r="Z214"/>
  <c r="Y214"/>
  <c r="AN213"/>
  <c r="AL213"/>
  <c r="AI213"/>
  <c r="AF213"/>
  <c r="AC213"/>
  <c r="Z213"/>
  <c r="Y213"/>
  <c r="AN212" s="1"/>
  <c r="AN211"/>
  <c r="AN210"/>
  <c r="AN209"/>
  <c r="AN208"/>
  <c r="AL208"/>
  <c r="AF208"/>
  <c r="AC208"/>
  <c r="AN207"/>
  <c r="AN206"/>
  <c r="AL206"/>
  <c r="AF206"/>
  <c r="AC206"/>
  <c r="AN205"/>
  <c r="W205"/>
  <c r="AN204"/>
  <c r="AN203"/>
  <c r="AN202"/>
  <c r="AN201"/>
  <c r="AI201"/>
  <c r="AH201"/>
  <c r="AN200" s="1"/>
  <c r="W201"/>
  <c r="AN199"/>
  <c r="AN198"/>
  <c r="W198"/>
  <c r="AN197"/>
  <c r="AN196"/>
  <c r="AN195"/>
  <c r="AN194"/>
  <c r="AN193"/>
  <c r="AN192"/>
  <c r="AN191"/>
  <c r="AF191"/>
  <c r="AN190"/>
  <c r="AN189"/>
  <c r="AN188"/>
  <c r="AN187"/>
  <c r="AN186"/>
  <c r="AN185"/>
  <c r="AN184"/>
  <c r="AN183"/>
  <c r="AN182"/>
  <c r="AN181"/>
  <c r="AN180"/>
  <c r="AN179"/>
  <c r="AN178"/>
  <c r="AN177"/>
  <c r="AN176"/>
  <c r="AN175"/>
  <c r="AN174"/>
  <c r="AN173"/>
  <c r="AN172"/>
  <c r="Z172"/>
  <c r="Y172"/>
  <c r="AN171" s="1"/>
  <c r="AN170"/>
  <c r="Z170"/>
  <c r="AN168"/>
  <c r="AN167"/>
  <c r="AN166"/>
  <c r="AN165"/>
  <c r="AN164"/>
  <c r="AN163"/>
  <c r="AN162"/>
  <c r="AN161"/>
  <c r="AN160"/>
  <c r="AN159"/>
  <c r="AN156"/>
  <c r="AN155"/>
  <c r="AN154"/>
  <c r="AN153"/>
  <c r="AN152"/>
  <c r="AN151"/>
  <c r="AN147"/>
  <c r="Z147"/>
  <c r="AN146"/>
  <c r="AN145"/>
  <c r="AL145"/>
  <c r="AF145"/>
  <c r="AN144"/>
  <c r="AN143"/>
  <c r="AN142"/>
  <c r="AN141"/>
  <c r="AN140"/>
  <c r="AN139"/>
  <c r="AF139"/>
  <c r="AN138"/>
  <c r="AN137"/>
  <c r="AN136"/>
  <c r="AN135"/>
  <c r="AN134"/>
  <c r="AN133"/>
  <c r="AN132"/>
  <c r="AN131"/>
  <c r="Z131"/>
  <c r="W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I113"/>
  <c r="AF113"/>
  <c r="AN112"/>
  <c r="AN111"/>
  <c r="AN110"/>
  <c r="AL110"/>
  <c r="AI110"/>
  <c r="AF110"/>
  <c r="AC110"/>
  <c r="Z110"/>
  <c r="W110"/>
  <c r="AN109"/>
  <c r="AN108"/>
  <c r="AN107"/>
  <c r="AN106"/>
  <c r="AL106"/>
  <c r="AI106"/>
  <c r="AF106"/>
  <c r="AC106"/>
  <c r="AN105"/>
  <c r="AN104"/>
  <c r="AL104"/>
  <c r="AI104"/>
  <c r="AF104"/>
  <c r="AC104"/>
  <c r="Z104"/>
  <c r="W104"/>
  <c r="AN103"/>
  <c r="AL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L72"/>
  <c r="AN71"/>
  <c r="AL71"/>
  <c r="AN70"/>
  <c r="AN69"/>
  <c r="AN68"/>
  <c r="AN67"/>
  <c r="AN66"/>
  <c r="AN65"/>
  <c r="AN64"/>
  <c r="AN63"/>
  <c r="AN62"/>
  <c r="AN61"/>
  <c r="AN60"/>
  <c r="AL60"/>
  <c r="AN59"/>
  <c r="AN57"/>
  <c r="AN56"/>
  <c r="AN55"/>
  <c r="AN54"/>
  <c r="AN53"/>
  <c r="AI53"/>
  <c r="AN52"/>
  <c r="AN50"/>
  <c r="AI50"/>
  <c r="AN49"/>
  <c r="AN48"/>
  <c r="AN47"/>
  <c r="AL47"/>
  <c r="AI47"/>
  <c r="AN46"/>
  <c r="AN45"/>
  <c r="AN44"/>
  <c r="AN43"/>
  <c r="AN42"/>
  <c r="AN41"/>
  <c r="AN40"/>
  <c r="AN39"/>
  <c r="AN38"/>
  <c r="AN37"/>
  <c r="AN36"/>
  <c r="AN35"/>
  <c r="AI35"/>
  <c r="AN34"/>
  <c r="AL34"/>
  <c r="AN33"/>
  <c r="AL33"/>
  <c r="AI33"/>
  <c r="AN31"/>
  <c r="AN30"/>
  <c r="AN29"/>
  <c r="AN28"/>
  <c r="AL28"/>
  <c r="AI28"/>
  <c r="AH28"/>
  <c r="AN27" s="1"/>
  <c r="AI27"/>
  <c r="AN26"/>
  <c r="AN25"/>
  <c r="AN24"/>
  <c r="AC24"/>
  <c r="AN23"/>
  <c r="AN22"/>
  <c r="AN21"/>
  <c r="AI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AN3" i="4"/>
  <c r="AN260"/>
  <c r="AN255"/>
  <c r="AN254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6"/>
  <c r="AN257"/>
  <c r="AN258"/>
  <c r="AN259"/>
  <c r="AL149"/>
  <c r="AL247"/>
  <c r="AL249"/>
  <c r="AL103"/>
  <c r="AL107"/>
  <c r="AL101"/>
  <c r="AL100"/>
  <c r="AL46"/>
  <c r="AL57"/>
  <c r="AL69"/>
  <c r="AL68"/>
  <c r="AI46"/>
  <c r="AL32"/>
  <c r="AL33"/>
  <c r="AL28"/>
  <c r="AL255"/>
  <c r="AL254"/>
  <c r="AI27"/>
  <c r="AH28"/>
  <c r="AI34"/>
  <c r="AI32"/>
  <c r="AI28"/>
  <c r="AI21"/>
  <c r="AI51"/>
  <c r="AI49"/>
  <c r="AH242"/>
  <c r="AI107"/>
  <c r="AI103"/>
  <c r="AI101"/>
  <c r="AI110"/>
  <c r="AI242"/>
  <c r="AI255"/>
  <c r="AI254"/>
  <c r="AN219" i="5" l="1"/>
  <c r="AF143" i="4"/>
  <c r="AF149"/>
  <c r="AF232"/>
  <c r="AF254"/>
  <c r="AF255"/>
  <c r="AF249"/>
  <c r="AF247"/>
  <c r="AF107"/>
  <c r="AF101"/>
  <c r="AF103"/>
  <c r="AF110"/>
  <c r="AF30"/>
  <c r="AF29"/>
  <c r="AE28"/>
  <c r="AF27"/>
  <c r="AF28"/>
  <c r="AF46"/>
  <c r="AF54"/>
  <c r="AC50"/>
  <c r="AB49"/>
  <c r="AC49"/>
  <c r="AC51"/>
  <c r="AC46"/>
  <c r="AC29"/>
  <c r="AC35"/>
  <c r="AC28"/>
  <c r="AC26"/>
  <c r="AC27"/>
  <c r="AB27"/>
  <c r="AC24"/>
  <c r="AC249"/>
  <c r="AC247"/>
  <c r="AC254"/>
  <c r="AC101"/>
  <c r="AC103"/>
  <c r="AC107"/>
  <c r="Z128"/>
  <c r="Y213"/>
  <c r="Z211"/>
  <c r="Z213"/>
  <c r="Z49"/>
  <c r="Z46"/>
  <c r="Z28"/>
  <c r="Z26"/>
  <c r="Z29"/>
  <c r="Z32"/>
  <c r="Z151"/>
  <c r="Z254"/>
  <c r="Y254"/>
  <c r="Y255"/>
  <c r="Z255"/>
  <c r="Z101"/>
  <c r="Z107"/>
  <c r="V29"/>
  <c r="W58"/>
  <c r="W29"/>
  <c r="W107"/>
  <c r="W101"/>
  <c r="W128"/>
  <c r="W242"/>
  <c r="W246"/>
  <c r="W239"/>
  <c r="T255"/>
  <c r="T33"/>
  <c r="T49"/>
  <c r="T28"/>
  <c r="S42"/>
  <c r="T26"/>
  <c r="T42"/>
  <c r="T27"/>
  <c r="T101"/>
  <c r="T128"/>
  <c r="N256"/>
  <c r="M256"/>
  <c r="N232"/>
  <c r="Q247"/>
  <c r="Q249"/>
  <c r="Q255"/>
  <c r="Q107"/>
  <c r="Q101"/>
  <c r="Q100"/>
  <c r="Q103"/>
  <c r="Q127"/>
  <c r="Q128"/>
  <c r="Q212"/>
  <c r="Q213"/>
  <c r="Q211"/>
  <c r="Q208"/>
  <c r="Q38"/>
  <c r="Q29"/>
  <c r="Q26"/>
  <c r="Q5"/>
  <c r="Q51"/>
  <c r="N149"/>
  <c r="N28" l="1"/>
  <c r="N47"/>
  <c r="M30"/>
  <c r="N4"/>
  <c r="N46"/>
  <c r="N30"/>
  <c r="N34"/>
  <c r="N32"/>
  <c r="N171"/>
  <c r="N143"/>
  <c r="N128"/>
  <c r="N99"/>
  <c r="N106"/>
  <c r="N100"/>
  <c r="N102"/>
  <c r="N103"/>
  <c r="N110"/>
  <c r="K234"/>
  <c r="K255"/>
  <c r="K142"/>
  <c r="K214"/>
  <c r="J212"/>
  <c r="K212"/>
  <c r="K129"/>
  <c r="K128"/>
  <c r="K107"/>
  <c r="K103"/>
  <c r="K101"/>
  <c r="K110"/>
  <c r="K205"/>
  <c r="K183"/>
  <c r="J46"/>
  <c r="K49"/>
  <c r="K46"/>
  <c r="K29"/>
  <c r="K28"/>
  <c r="K23"/>
  <c r="H51" l="1"/>
  <c r="H45"/>
  <c r="G42"/>
  <c r="H28"/>
  <c r="H46"/>
  <c r="H42"/>
  <c r="H129"/>
  <c r="H101"/>
  <c r="H100"/>
  <c r="H99"/>
  <c r="G107"/>
  <c r="D181"/>
  <c r="E107"/>
  <c r="E129"/>
  <c r="E128"/>
  <c r="E234"/>
  <c r="E224"/>
  <c r="E218"/>
  <c r="E215"/>
  <c r="E223"/>
  <c r="E214"/>
  <c r="E212"/>
  <c r="E220"/>
  <c r="E219"/>
  <c r="E181" l="1"/>
  <c r="E37"/>
  <c r="E49"/>
  <c r="E26"/>
  <c r="E13"/>
  <c r="E149"/>
  <c r="E142"/>
  <c r="E139"/>
  <c r="E255"/>
  <c r="E249"/>
  <c r="E247"/>
  <c r="F162"/>
  <c r="F157"/>
  <c r="F154"/>
  <c r="F101"/>
  <c r="F93"/>
  <c r="F86"/>
  <c r="F85"/>
  <c r="F84"/>
  <c r="F46"/>
  <c r="L38"/>
  <c r="F31"/>
  <c r="F28"/>
  <c r="L26"/>
  <c r="F19"/>
  <c r="T15"/>
  <c r="T14"/>
  <c r="AL59" i="3"/>
  <c r="AL25"/>
  <c r="AL21"/>
  <c r="AL118"/>
  <c r="AL119"/>
  <c r="AL100"/>
  <c r="AL107"/>
  <c r="AL104"/>
  <c r="AL264"/>
  <c r="AL263"/>
  <c r="AI160"/>
  <c r="AI151"/>
  <c r="AL221"/>
  <c r="AL222"/>
  <c r="AL211"/>
  <c r="AL218"/>
  <c r="AL249"/>
  <c r="AL251"/>
  <c r="AL236"/>
  <c r="AK132"/>
  <c r="AL132"/>
  <c r="AF12"/>
  <c r="AE25"/>
  <c r="AF21"/>
  <c r="AF24"/>
  <c r="AF25"/>
  <c r="AF42"/>
  <c r="AF45"/>
  <c r="AI25"/>
  <c r="AH25"/>
  <c r="AI42"/>
  <c r="AI26"/>
  <c r="AI45"/>
  <c r="AI262"/>
  <c r="AF142"/>
  <c r="AI194"/>
  <c r="AH107"/>
  <c r="AI122"/>
  <c r="AI119"/>
  <c r="AF95"/>
  <c r="AI95"/>
  <c r="AH104"/>
  <c r="AI105"/>
  <c r="AI104"/>
  <c r="AI107"/>
  <c r="AI235"/>
  <c r="AI138"/>
  <c r="AH211"/>
  <c r="AH213"/>
  <c r="AI221"/>
  <c r="AH210"/>
  <c r="AH212"/>
  <c r="AI212"/>
  <c r="AI211"/>
  <c r="AI213"/>
  <c r="AI210"/>
  <c r="I126" i="4" l="1"/>
  <c r="F159"/>
  <c r="AF138" i="3"/>
  <c r="AE138"/>
  <c r="AF211"/>
  <c r="AF213"/>
  <c r="AF221"/>
  <c r="AF218"/>
  <c r="AF212"/>
  <c r="AF119"/>
  <c r="AF250"/>
  <c r="AF249"/>
  <c r="AF247"/>
  <c r="AF248"/>
  <c r="AF246"/>
  <c r="AF252"/>
  <c r="AF107" l="1"/>
  <c r="AF104"/>
  <c r="AB213"/>
  <c r="AC213"/>
  <c r="AC221"/>
  <c r="AC119"/>
  <c r="AC104"/>
  <c r="AB172"/>
  <c r="AC246"/>
  <c r="AC240"/>
  <c r="AB132"/>
  <c r="AC132"/>
  <c r="AC21"/>
  <c r="AC45"/>
  <c r="AC12"/>
  <c r="Z244" l="1"/>
  <c r="Z160"/>
  <c r="Z242"/>
  <c r="W91"/>
  <c r="Z105"/>
  <c r="Z104"/>
  <c r="Z186"/>
  <c r="Z19"/>
  <c r="Z27"/>
  <c r="Z25"/>
  <c r="Z22"/>
  <c r="Z13"/>
  <c r="Z42"/>
  <c r="Z39"/>
  <c r="Z259"/>
  <c r="Z258"/>
  <c r="W21"/>
  <c r="W9"/>
  <c r="W45"/>
  <c r="W11"/>
  <c r="W29"/>
  <c r="V28"/>
  <c r="W28"/>
  <c r="W238"/>
  <c r="W237"/>
  <c r="W194"/>
  <c r="W170"/>
  <c r="W262"/>
  <c r="W119"/>
  <c r="W138"/>
  <c r="S151"/>
  <c r="T151"/>
  <c r="S132"/>
  <c r="T130"/>
  <c r="T13"/>
  <c r="T66"/>
  <c r="P132"/>
  <c r="T33"/>
  <c r="T14"/>
  <c r="T83"/>
  <c r="J83"/>
  <c r="E83"/>
  <c r="F83" s="1"/>
  <c r="T132"/>
  <c r="T175"/>
  <c r="T176"/>
  <c r="T96"/>
  <c r="T95" l="1"/>
  <c r="T107"/>
  <c r="T104"/>
  <c r="Q104"/>
  <c r="R104" s="1"/>
  <c r="R116" s="1"/>
  <c r="Q107"/>
  <c r="Q119"/>
  <c r="R119" s="1"/>
  <c r="Q212"/>
  <c r="R212" s="1"/>
  <c r="Q210"/>
  <c r="R210" s="1"/>
  <c r="Q219"/>
  <c r="R219" s="1"/>
  <c r="Q222"/>
  <c r="R222" s="1"/>
  <c r="Q217"/>
  <c r="R217" s="1"/>
  <c r="Q32"/>
  <c r="R32" s="1"/>
  <c r="Q13"/>
  <c r="R13" s="1"/>
  <c r="Q45"/>
  <c r="R45" s="1"/>
  <c r="Q17"/>
  <c r="R17" s="1"/>
  <c r="Q22"/>
  <c r="R22" s="1"/>
  <c r="Q26"/>
  <c r="R26" s="1"/>
  <c r="R224" l="1"/>
  <c r="R85"/>
  <c r="R132"/>
  <c r="R135"/>
  <c r="N142"/>
  <c r="O142" s="1"/>
  <c r="M132"/>
  <c r="N130"/>
  <c r="O130" s="1"/>
  <c r="N14"/>
  <c r="O14" s="1"/>
  <c r="N52"/>
  <c r="O52" s="1"/>
  <c r="N8"/>
  <c r="O8" s="1"/>
  <c r="N23"/>
  <c r="O23" s="1"/>
  <c r="N61"/>
  <c r="O61" s="1"/>
  <c r="N26"/>
  <c r="O26" s="1"/>
  <c r="N21"/>
  <c r="O21" s="1"/>
  <c r="M25"/>
  <c r="N25"/>
  <c r="O20"/>
  <c r="N75"/>
  <c r="O75" s="1"/>
  <c r="N48"/>
  <c r="O48" s="1"/>
  <c r="N31"/>
  <c r="O31" s="1"/>
  <c r="N18"/>
  <c r="O18" s="1"/>
  <c r="N107"/>
  <c r="O107" s="1"/>
  <c r="N172"/>
  <c r="O172" s="1"/>
  <c r="N235"/>
  <c r="O235" s="1"/>
  <c r="N132"/>
  <c r="N119"/>
  <c r="O119" s="1"/>
  <c r="L74"/>
  <c r="L75"/>
  <c r="J25"/>
  <c r="K45"/>
  <c r="L45" s="1"/>
  <c r="L26"/>
  <c r="J26"/>
  <c r="K42"/>
  <c r="L42" s="1"/>
  <c r="K33"/>
  <c r="L33" s="1"/>
  <c r="K76"/>
  <c r="L76" s="1"/>
  <c r="K25"/>
  <c r="E180"/>
  <c r="F180" s="1"/>
  <c r="L107"/>
  <c r="L104"/>
  <c r="H104"/>
  <c r="I104" s="1"/>
  <c r="H107"/>
  <c r="I107" s="1"/>
  <c r="D132"/>
  <c r="K132"/>
  <c r="L132" s="1"/>
  <c r="D151"/>
  <c r="E151"/>
  <c r="O25" l="1"/>
  <c r="O85" s="1"/>
  <c r="I116"/>
  <c r="F151"/>
  <c r="L116"/>
  <c r="O132"/>
  <c r="L25"/>
  <c r="L85" s="1"/>
  <c r="L219" l="1"/>
  <c r="L217"/>
  <c r="K119"/>
  <c r="L119" s="1"/>
  <c r="F132"/>
  <c r="F130"/>
  <c r="E135"/>
  <c r="F135" s="1"/>
  <c r="D119"/>
  <c r="E119"/>
  <c r="F30"/>
  <c r="E26"/>
  <c r="F26" s="1"/>
  <c r="E18"/>
  <c r="F18" s="1"/>
  <c r="D42"/>
  <c r="F76"/>
  <c r="F75"/>
  <c r="E74"/>
  <c r="F74" s="1"/>
  <c r="E42"/>
  <c r="D176"/>
  <c r="E176"/>
  <c r="E107"/>
  <c r="F107" s="1"/>
  <c r="AM11" i="2"/>
  <c r="AL11"/>
  <c r="AL10"/>
  <c r="AM10" s="1"/>
  <c r="AL12"/>
  <c r="AK12"/>
  <c r="AK42"/>
  <c r="AL46"/>
  <c r="AM46" s="1"/>
  <c r="AL31"/>
  <c r="AM31" s="1"/>
  <c r="AL42"/>
  <c r="AM6"/>
  <c r="AM7"/>
  <c r="AL7"/>
  <c r="AL26"/>
  <c r="AM26" s="1"/>
  <c r="AM30"/>
  <c r="AL30"/>
  <c r="AL80"/>
  <c r="AM80" s="1"/>
  <c r="AL93"/>
  <c r="AM93" s="1"/>
  <c r="AM99"/>
  <c r="AM106" s="1"/>
  <c r="AL99"/>
  <c r="AM190"/>
  <c r="AM188"/>
  <c r="AL188"/>
  <c r="AL187"/>
  <c r="AK187"/>
  <c r="AM187" s="1"/>
  <c r="AM192" s="1"/>
  <c r="AM117"/>
  <c r="AH145"/>
  <c r="AM12" l="1"/>
  <c r="F176" i="3"/>
  <c r="AM96" i="2"/>
  <c r="F119" i="3"/>
  <c r="F148"/>
  <c r="AM42" i="2"/>
  <c r="AM65" s="1"/>
  <c r="F42" i="3"/>
  <c r="L224"/>
  <c r="AL112" i="2"/>
  <c r="AI127"/>
  <c r="AH127"/>
  <c r="AJ127" s="1"/>
  <c r="AI78"/>
  <c r="AJ78" s="1"/>
  <c r="AI82"/>
  <c r="AJ82" s="1"/>
  <c r="AI67"/>
  <c r="AJ67" s="1"/>
  <c r="AJ112"/>
  <c r="AJ110"/>
  <c r="AG119"/>
  <c r="AG112"/>
  <c r="AG117"/>
  <c r="AI101"/>
  <c r="AJ101" s="1"/>
  <c r="AI99"/>
  <c r="AJ99" s="1"/>
  <c r="AJ46"/>
  <c r="AI46"/>
  <c r="AI33"/>
  <c r="AJ33" s="1"/>
  <c r="AJ7"/>
  <c r="AJ30"/>
  <c r="AJ32"/>
  <c r="AJ29"/>
  <c r="AJ50"/>
  <c r="AI31"/>
  <c r="AH31"/>
  <c r="AI8"/>
  <c r="AJ8" s="1"/>
  <c r="AI146"/>
  <c r="AJ146" s="1"/>
  <c r="AF163"/>
  <c r="AG148"/>
  <c r="AG149"/>
  <c r="AG150"/>
  <c r="AG151"/>
  <c r="AG152"/>
  <c r="AF129"/>
  <c r="AE129"/>
  <c r="AG129" s="1"/>
  <c r="AF204"/>
  <c r="AG204" s="1"/>
  <c r="AF99"/>
  <c r="AG99" s="1"/>
  <c r="AF101"/>
  <c r="AG101" s="1"/>
  <c r="AF42"/>
  <c r="AG42" s="1"/>
  <c r="AG30"/>
  <c r="AG32"/>
  <c r="AF50"/>
  <c r="AG50" s="1"/>
  <c r="AG8"/>
  <c r="AF8"/>
  <c r="AF80"/>
  <c r="AG80" s="1"/>
  <c r="AF67"/>
  <c r="AG67" s="1"/>
  <c r="AF93"/>
  <c r="AG93" s="1"/>
  <c r="AG147"/>
  <c r="AF108"/>
  <c r="AG108" s="1"/>
  <c r="AD6"/>
  <c r="AC7"/>
  <c r="AD7" s="1"/>
  <c r="AD22"/>
  <c r="AC51"/>
  <c r="AD51" s="1"/>
  <c r="AB50"/>
  <c r="AB57"/>
  <c r="AC57"/>
  <c r="AC50"/>
  <c r="AD37"/>
  <c r="AC37"/>
  <c r="AC203"/>
  <c r="AD203" s="1"/>
  <c r="AD210"/>
  <c r="AC209"/>
  <c r="AD209" s="1"/>
  <c r="AD213" s="1"/>
  <c r="AC152"/>
  <c r="AC104"/>
  <c r="AD104" s="1"/>
  <c r="AD100"/>
  <c r="AC100"/>
  <c r="AC127"/>
  <c r="AB127"/>
  <c r="AD127" s="1"/>
  <c r="AD67"/>
  <c r="AC67"/>
  <c r="AC82"/>
  <c r="AD82" s="1"/>
  <c r="AD77"/>
  <c r="AC77"/>
  <c r="AC79"/>
  <c r="AD79" s="1"/>
  <c r="AD96" s="1"/>
  <c r="AD81"/>
  <c r="AC81"/>
  <c r="AD112"/>
  <c r="Z117"/>
  <c r="AA117" s="1"/>
  <c r="AC217"/>
  <c r="AD217" s="1"/>
  <c r="Z82"/>
  <c r="AA82" s="1"/>
  <c r="Z110"/>
  <c r="AA110" s="1"/>
  <c r="Z112"/>
  <c r="AA112" s="1"/>
  <c r="AA101"/>
  <c r="Z100"/>
  <c r="AA100" s="1"/>
  <c r="AA106" s="1"/>
  <c r="Y152"/>
  <c r="AA152" s="1"/>
  <c r="Z150"/>
  <c r="Y150"/>
  <c r="AA150" s="1"/>
  <c r="Z147"/>
  <c r="Y147"/>
  <c r="AA147" s="1"/>
  <c r="V23"/>
  <c r="V50"/>
  <c r="X50" s="1"/>
  <c r="W50"/>
  <c r="W23"/>
  <c r="W26"/>
  <c r="X26" s="1"/>
  <c r="X16"/>
  <c r="W16"/>
  <c r="W25"/>
  <c r="X25" s="1"/>
  <c r="W42"/>
  <c r="X42" s="1"/>
  <c r="W27"/>
  <c r="X27" s="1"/>
  <c r="W43"/>
  <c r="X43" s="1"/>
  <c r="W35"/>
  <c r="X35" s="1"/>
  <c r="W62"/>
  <c r="X62" s="1"/>
  <c r="W18"/>
  <c r="X18" s="1"/>
  <c r="Z4"/>
  <c r="AA4" s="1"/>
  <c r="AA26"/>
  <c r="Z26"/>
  <c r="Z13"/>
  <c r="AA13" s="1"/>
  <c r="Y42"/>
  <c r="AA42" s="1"/>
  <c r="Y50"/>
  <c r="Z15"/>
  <c r="AA15" s="1"/>
  <c r="Z50"/>
  <c r="AA50" s="1"/>
  <c r="Z41"/>
  <c r="AA41" s="1"/>
  <c r="Z42"/>
  <c r="AA46"/>
  <c r="Z46"/>
  <c r="Z48"/>
  <c r="AA48" s="1"/>
  <c r="AA57"/>
  <c r="Z57"/>
  <c r="Z61"/>
  <c r="AA61" s="1"/>
  <c r="AA24"/>
  <c r="Z24"/>
  <c r="W90"/>
  <c r="X90" s="1"/>
  <c r="X83"/>
  <c r="W83"/>
  <c r="W93"/>
  <c r="X93" s="1"/>
  <c r="W82"/>
  <c r="X82" s="1"/>
  <c r="W67"/>
  <c r="X67" s="1"/>
  <c r="W72"/>
  <c r="X72" s="1"/>
  <c r="X103"/>
  <c r="W103"/>
  <c r="X100"/>
  <c r="X106" s="1"/>
  <c r="V100"/>
  <c r="X112"/>
  <c r="T119"/>
  <c r="U119" s="1"/>
  <c r="W142"/>
  <c r="X142" s="1"/>
  <c r="X145"/>
  <c r="W145"/>
  <c r="AD106" l="1"/>
  <c r="AG65"/>
  <c r="X164"/>
  <c r="AJ96"/>
  <c r="AD57"/>
  <c r="AA126"/>
  <c r="AG125"/>
  <c r="AJ106"/>
  <c r="AD50"/>
  <c r="AD65"/>
  <c r="AG106"/>
  <c r="AJ31"/>
  <c r="AJ65" s="1"/>
  <c r="AG96"/>
  <c r="AA65"/>
  <c r="X96"/>
  <c r="AA164"/>
  <c r="X23"/>
  <c r="X65" s="1"/>
  <c r="K56"/>
  <c r="E111"/>
  <c r="S46"/>
  <c r="T46"/>
  <c r="T51"/>
  <c r="U51" s="1"/>
  <c r="T22"/>
  <c r="U22" s="1"/>
  <c r="T26"/>
  <c r="U26" s="1"/>
  <c r="T50"/>
  <c r="U50" s="1"/>
  <c r="Q19"/>
  <c r="R19" s="1"/>
  <c r="Q4"/>
  <c r="R4" s="1"/>
  <c r="Q9"/>
  <c r="R9" s="1"/>
  <c r="P24"/>
  <c r="P46"/>
  <c r="Q24"/>
  <c r="R24" s="1"/>
  <c r="T127"/>
  <c r="U127" s="1"/>
  <c r="U164"/>
  <c r="Q151"/>
  <c r="T100"/>
  <c r="U100" s="1"/>
  <c r="U46" l="1"/>
  <c r="U65" s="1"/>
  <c r="T69"/>
  <c r="U69" s="1"/>
  <c r="T68"/>
  <c r="U68" s="1"/>
  <c r="U96" s="1"/>
  <c r="T214"/>
  <c r="U214" s="1"/>
  <c r="Q26"/>
  <c r="R26" s="1"/>
  <c r="Q46"/>
  <c r="R46" s="1"/>
  <c r="Q3"/>
  <c r="R3" s="1"/>
  <c r="Q16"/>
  <c r="R16" s="1"/>
  <c r="Q50"/>
  <c r="R50" s="1"/>
  <c r="Q57"/>
  <c r="R57" s="1"/>
  <c r="Q214"/>
  <c r="R214" s="1"/>
  <c r="Q100"/>
  <c r="R100" s="1"/>
  <c r="N193"/>
  <c r="O193" s="1"/>
  <c r="P112"/>
  <c r="Q112"/>
  <c r="Q119"/>
  <c r="R119" s="1"/>
  <c r="Q150"/>
  <c r="R164"/>
  <c r="Q145"/>
  <c r="N143"/>
  <c r="O143" s="1"/>
  <c r="N152"/>
  <c r="O152" s="1"/>
  <c r="N154"/>
  <c r="O154" s="1"/>
  <c r="R112" l="1"/>
  <c r="R65"/>
  <c r="O164"/>
  <c r="R125"/>
  <c r="M96"/>
  <c r="P96"/>
  <c r="Q67"/>
  <c r="R67" s="1"/>
  <c r="Q82"/>
  <c r="R82" s="1"/>
  <c r="K45"/>
  <c r="L45" s="1"/>
  <c r="K61"/>
  <c r="L61" s="1"/>
  <c r="K16"/>
  <c r="L16" s="1"/>
  <c r="J17"/>
  <c r="K50"/>
  <c r="L50" s="1"/>
  <c r="K27"/>
  <c r="L27" s="1"/>
  <c r="K63"/>
  <c r="L63" s="1"/>
  <c r="K26"/>
  <c r="L26" s="1"/>
  <c r="K17"/>
  <c r="K4"/>
  <c r="L4" s="1"/>
  <c r="K21"/>
  <c r="L21" s="1"/>
  <c r="K44"/>
  <c r="L44" s="1"/>
  <c r="K20"/>
  <c r="L20" s="1"/>
  <c r="K14"/>
  <c r="L14" s="1"/>
  <c r="L56"/>
  <c r="K59"/>
  <c r="L59" s="1"/>
  <c r="N120"/>
  <c r="O120" s="1"/>
  <c r="O125" s="1"/>
  <c r="N67"/>
  <c r="O67" s="1"/>
  <c r="O96" s="1"/>
  <c r="O207"/>
  <c r="N208"/>
  <c r="O208" s="1"/>
  <c r="O206"/>
  <c r="N205"/>
  <c r="O205" s="1"/>
  <c r="N100"/>
  <c r="O100" s="1"/>
  <c r="O213" l="1"/>
  <c r="R96"/>
  <c r="N96"/>
  <c r="L17"/>
  <c r="L65" s="1"/>
  <c r="J127"/>
  <c r="K127"/>
  <c r="I53"/>
  <c r="H53"/>
  <c r="I61"/>
  <c r="H61"/>
  <c r="I96"/>
  <c r="L72"/>
  <c r="K72"/>
  <c r="L90"/>
  <c r="K90"/>
  <c r="L77"/>
  <c r="K77"/>
  <c r="L67"/>
  <c r="K67"/>
  <c r="L117"/>
  <c r="L111"/>
  <c r="J111"/>
  <c r="I125"/>
  <c r="F125"/>
  <c r="K109"/>
  <c r="L150"/>
  <c r="J150"/>
  <c r="J164" s="1"/>
  <c r="L164"/>
  <c r="F164"/>
  <c r="L207"/>
  <c r="K207"/>
  <c r="L206"/>
  <c r="L205"/>
  <c r="K205"/>
  <c r="K202"/>
  <c r="E194"/>
  <c r="H101"/>
  <c r="F199"/>
  <c r="E199"/>
  <c r="F198"/>
  <c r="E198"/>
  <c r="F197"/>
  <c r="E197"/>
  <c r="F196"/>
  <c r="F200" s="1"/>
  <c r="E196"/>
  <c r="F61"/>
  <c r="E61"/>
  <c r="F60"/>
  <c r="E60"/>
  <c r="F26"/>
  <c r="E26"/>
  <c r="F9"/>
  <c r="E9"/>
  <c r="F127"/>
  <c r="D127"/>
  <c r="E127"/>
  <c r="I147"/>
  <c r="I164" s="1"/>
  <c r="H147"/>
  <c r="E144"/>
  <c r="E190"/>
  <c r="F28"/>
  <c r="E28"/>
  <c r="F38"/>
  <c r="E38"/>
  <c r="F5"/>
  <c r="E5"/>
  <c r="F51"/>
  <c r="E51"/>
  <c r="F6"/>
  <c r="E6"/>
  <c r="F40"/>
  <c r="E40"/>
  <c r="F67"/>
  <c r="E67"/>
  <c r="F85"/>
  <c r="E85"/>
  <c r="E88"/>
  <c r="L96" l="1"/>
  <c r="F96"/>
  <c r="L213"/>
  <c r="I65"/>
  <c r="L127"/>
  <c r="F65"/>
  <c r="L125"/>
  <c r="F107" i="1"/>
  <c r="F93"/>
  <c r="D93"/>
  <c r="D107"/>
  <c r="F95"/>
  <c r="D95"/>
  <c r="F98"/>
  <c r="D98"/>
  <c r="F106"/>
  <c r="D106"/>
  <c r="F94"/>
  <c r="D94"/>
  <c r="F104"/>
  <c r="D104"/>
  <c r="F96"/>
  <c r="D96"/>
  <c r="F103"/>
  <c r="D103"/>
  <c r="F101"/>
  <c r="D101"/>
  <c r="F92"/>
  <c r="D92"/>
  <c r="F90"/>
  <c r="D90"/>
  <c r="F89"/>
  <c r="F110" s="1"/>
  <c r="D89"/>
  <c r="F108"/>
  <c r="D108"/>
  <c r="F102"/>
  <c r="D102"/>
  <c r="F91"/>
  <c r="D91"/>
  <c r="F109"/>
  <c r="D109"/>
  <c r="D105"/>
  <c r="D97"/>
  <c r="D99"/>
  <c r="D100"/>
  <c r="D61"/>
  <c r="F61"/>
  <c r="F67"/>
  <c r="D67"/>
  <c r="F63"/>
  <c r="D63"/>
  <c r="F60"/>
  <c r="D60"/>
  <c r="F59"/>
  <c r="D59"/>
  <c r="F66"/>
  <c r="D66"/>
  <c r="F72"/>
  <c r="D72"/>
  <c r="F70"/>
  <c r="D70"/>
  <c r="F69"/>
  <c r="D69"/>
  <c r="F71"/>
  <c r="D71"/>
  <c r="F62"/>
  <c r="D62"/>
  <c r="F68"/>
  <c r="D68"/>
  <c r="F73"/>
  <c r="D73"/>
  <c r="F64"/>
  <c r="D64"/>
  <c r="F65"/>
  <c r="D65"/>
  <c r="F53"/>
  <c r="D53"/>
  <c r="D56"/>
  <c r="F56"/>
  <c r="F57" s="1"/>
  <c r="F54"/>
  <c r="D54"/>
  <c r="F55"/>
  <c r="D55"/>
  <c r="F27"/>
  <c r="D27"/>
  <c r="F32"/>
  <c r="D32"/>
  <c r="F39"/>
  <c r="D39"/>
  <c r="F36"/>
  <c r="D36"/>
  <c r="F37"/>
  <c r="D37"/>
  <c r="F49"/>
  <c r="D49"/>
  <c r="F48"/>
  <c r="D48"/>
  <c r="F45"/>
  <c r="D45"/>
  <c r="F28"/>
  <c r="D28"/>
  <c r="F40"/>
  <c r="D40"/>
  <c r="F47"/>
  <c r="D47"/>
  <c r="F44"/>
  <c r="D44"/>
  <c r="F29"/>
  <c r="D29"/>
  <c r="F46"/>
  <c r="D46"/>
  <c r="F43"/>
  <c r="D43"/>
  <c r="F41"/>
  <c r="D41"/>
  <c r="F38"/>
  <c r="D38"/>
  <c r="F35"/>
  <c r="D35"/>
  <c r="F34"/>
  <c r="D34"/>
  <c r="F33"/>
  <c r="D33"/>
  <c r="F31"/>
  <c r="D31"/>
  <c r="F30"/>
  <c r="F51" s="1"/>
  <c r="D30"/>
  <c r="F23"/>
  <c r="D23"/>
  <c r="F22"/>
  <c r="D22"/>
  <c r="F18"/>
  <c r="D18"/>
  <c r="F4"/>
  <c r="D4"/>
  <c r="F21"/>
  <c r="D21"/>
  <c r="F11"/>
  <c r="D11"/>
  <c r="F16"/>
  <c r="D16"/>
  <c r="F13"/>
  <c r="D13"/>
  <c r="F12"/>
  <c r="D12"/>
  <c r="F24"/>
  <c r="D24"/>
  <c r="F7"/>
  <c r="D7"/>
  <c r="F8"/>
  <c r="D8"/>
  <c r="F19"/>
  <c r="D19"/>
  <c r="F5"/>
  <c r="D5"/>
  <c r="F15"/>
  <c r="D15"/>
  <c r="F20"/>
  <c r="E20"/>
  <c r="D20"/>
  <c r="D3"/>
  <c r="F2"/>
  <c r="D2"/>
  <c r="F9"/>
  <c r="D9"/>
  <c r="F10"/>
  <c r="D10"/>
  <c r="F6"/>
  <c r="D6"/>
  <c r="F3"/>
  <c r="F14"/>
  <c r="D14"/>
  <c r="F17"/>
  <c r="D17"/>
  <c r="F77"/>
  <c r="D77"/>
  <c r="F76"/>
  <c r="D76"/>
  <c r="F81"/>
  <c r="D81"/>
  <c r="F78"/>
  <c r="D78"/>
  <c r="F83"/>
  <c r="D83"/>
  <c r="F84"/>
  <c r="D84"/>
  <c r="F82"/>
  <c r="D82"/>
  <c r="F85"/>
  <c r="D85"/>
  <c r="F86"/>
  <c r="D86"/>
  <c r="F80"/>
  <c r="D80"/>
  <c r="F79"/>
  <c r="D79"/>
  <c r="F138"/>
  <c r="D138"/>
  <c r="F139"/>
  <c r="D139"/>
  <c r="D57"/>
  <c r="E107"/>
  <c r="E11"/>
  <c r="E16"/>
  <c r="E13"/>
  <c r="E12"/>
  <c r="E24"/>
  <c r="E7"/>
  <c r="E19"/>
  <c r="F129"/>
  <c r="E129"/>
  <c r="D129"/>
  <c r="F133"/>
  <c r="D133"/>
  <c r="F135"/>
  <c r="E135"/>
  <c r="D135"/>
  <c r="E133"/>
  <c r="E32"/>
  <c r="E39"/>
  <c r="E37"/>
  <c r="E49"/>
  <c r="E48"/>
  <c r="E45"/>
  <c r="E36"/>
  <c r="E47"/>
  <c r="F123"/>
  <c r="E123"/>
  <c r="D123"/>
  <c r="E72"/>
  <c r="E91"/>
  <c r="E78"/>
  <c r="E9"/>
  <c r="E10"/>
  <c r="E6"/>
  <c r="E8"/>
  <c r="F124"/>
  <c r="D124"/>
  <c r="E68"/>
  <c r="F115"/>
  <c r="D115"/>
  <c r="E14"/>
  <c r="E3"/>
  <c r="E40"/>
  <c r="E41"/>
  <c r="E44"/>
  <c r="E29"/>
  <c r="E46"/>
  <c r="E43"/>
  <c r="E38"/>
  <c r="E35"/>
  <c r="E34"/>
  <c r="E33"/>
  <c r="E30"/>
  <c r="E28"/>
  <c r="F112"/>
  <c r="D112"/>
  <c r="F113"/>
  <c r="D113"/>
  <c r="F125"/>
  <c r="E125"/>
  <c r="D125"/>
  <c r="F119"/>
  <c r="D119"/>
  <c r="E93"/>
  <c r="F134"/>
  <c r="E134"/>
  <c r="D134"/>
  <c r="E86"/>
  <c r="E115"/>
  <c r="E23"/>
  <c r="E22"/>
  <c r="E4"/>
  <c r="E21"/>
  <c r="E85"/>
  <c r="E84"/>
  <c r="E83"/>
  <c r="E82"/>
  <c r="F132"/>
  <c r="E132"/>
  <c r="D132"/>
  <c r="F131"/>
  <c r="E131"/>
  <c r="D131"/>
  <c r="F130"/>
  <c r="E130"/>
  <c r="D130"/>
  <c r="F128"/>
  <c r="E128"/>
  <c r="D128"/>
  <c r="E109"/>
  <c r="F120"/>
  <c r="D120"/>
  <c r="E114"/>
  <c r="D114"/>
  <c r="E139"/>
  <c r="E64"/>
  <c r="E71"/>
  <c r="E56"/>
  <c r="E113"/>
  <c r="E81"/>
  <c r="E80"/>
  <c r="E79"/>
  <c r="E18"/>
  <c r="E17"/>
  <c r="E124"/>
  <c r="F122"/>
  <c r="E122"/>
  <c r="D122"/>
  <c r="F121"/>
  <c r="E121"/>
  <c r="D121"/>
  <c r="E120"/>
  <c r="E119"/>
  <c r="F118"/>
  <c r="E118"/>
  <c r="D118"/>
  <c r="E94"/>
  <c r="E102"/>
  <c r="E96"/>
  <c r="E112"/>
  <c r="E67"/>
  <c r="E65"/>
  <c r="E55"/>
  <c r="E54"/>
  <c r="E92"/>
  <c r="E95"/>
  <c r="E90"/>
  <c r="E89"/>
  <c r="E138"/>
  <c r="E76"/>
  <c r="E63"/>
  <c r="E61"/>
  <c r="E60"/>
  <c r="E59"/>
  <c r="E53"/>
  <c r="E27"/>
  <c r="E15"/>
  <c r="E5"/>
  <c r="E2"/>
  <c r="D140" l="1"/>
  <c r="F140"/>
  <c r="F87"/>
  <c r="F136"/>
  <c r="D136"/>
  <c r="D126"/>
  <c r="F126"/>
  <c r="D116"/>
  <c r="F25"/>
  <c r="F116"/>
  <c r="F74"/>
  <c r="D51"/>
  <c r="D110"/>
  <c r="D74"/>
  <c r="D25"/>
  <c r="D87"/>
</calcChain>
</file>

<file path=xl/sharedStrings.xml><?xml version="1.0" encoding="utf-8"?>
<sst xmlns="http://schemas.openxmlformats.org/spreadsheetml/2006/main" count="2207" uniqueCount="381">
  <si>
    <t>浙江七星</t>
    <phoneticPr fontId="1" type="noConversion"/>
  </si>
  <si>
    <t>镀膜半成品AP-S</t>
    <phoneticPr fontId="1" type="noConversion"/>
  </si>
  <si>
    <t>镀膜成品ZAPH-S</t>
    <phoneticPr fontId="1" type="noConversion"/>
  </si>
  <si>
    <t>镀膜成品AT-S</t>
    <phoneticPr fontId="1" type="noConversion"/>
  </si>
  <si>
    <t>3*4.5*0.4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</si>
  <si>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</si>
  <si>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</si>
  <si>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</si>
  <si>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8*4.5*0.4</t>
    <phoneticPr fontId="1" type="noConversion"/>
  </si>
  <si>
    <t>青岛诚汶</t>
    <phoneticPr fontId="1" type="noConversion"/>
  </si>
  <si>
    <t>镀锌铝聚丙烯膜</t>
    <phoneticPr fontId="1" type="noConversion"/>
  </si>
  <si>
    <t>6*14*1.5</t>
    <phoneticPr fontId="1" type="noConversion"/>
  </si>
  <si>
    <t>上海利泽</t>
    <phoneticPr fontId="1" type="noConversion"/>
  </si>
  <si>
    <t>聚酯薄膜</t>
    <phoneticPr fontId="1" type="noConversion"/>
  </si>
  <si>
    <t>T4.3*620</t>
    <phoneticPr fontId="1" type="noConversion"/>
  </si>
  <si>
    <t>江门润田</t>
    <phoneticPr fontId="1" type="noConversion"/>
  </si>
  <si>
    <t>聚丙膜一等</t>
    <phoneticPr fontId="1" type="noConversion"/>
  </si>
  <si>
    <t>6D*620</t>
    <phoneticPr fontId="1" type="noConversion"/>
  </si>
  <si>
    <t>10*500</t>
    <phoneticPr fontId="1" type="noConversion"/>
  </si>
  <si>
    <t>7D*620</t>
    <phoneticPr fontId="1" type="noConversion"/>
  </si>
  <si>
    <t>聚丙膜合格</t>
    <phoneticPr fontId="1" type="noConversion"/>
  </si>
  <si>
    <t>15*500</t>
    <phoneticPr fontId="1" type="noConversion"/>
  </si>
  <si>
    <t>扬州日精</t>
    <phoneticPr fontId="1" type="noConversion"/>
  </si>
  <si>
    <t>薄膜蒸发加工费</t>
    <phoneticPr fontId="1" type="noConversion"/>
  </si>
  <si>
    <t>MPP9*14/15*2L1.5/C3*2</t>
    <phoneticPr fontId="1" type="noConversion"/>
  </si>
  <si>
    <t>仪征丰鑫</t>
    <phoneticPr fontId="1" type="noConversion"/>
  </si>
  <si>
    <t>无锡宏广</t>
    <phoneticPr fontId="1" type="noConversion"/>
  </si>
  <si>
    <t>ZN/AL</t>
    <phoneticPr fontId="1" type="noConversion"/>
  </si>
  <si>
    <t>6D*42*3</t>
    <phoneticPr fontId="1" type="noConversion"/>
  </si>
  <si>
    <t>4.3*40*3</t>
    <phoneticPr fontId="1" type="noConversion"/>
  </si>
  <si>
    <t>3.7*40*3</t>
    <phoneticPr fontId="1" type="noConversion"/>
  </si>
  <si>
    <t>7D*42*3</t>
    <phoneticPr fontId="1" type="noConversion"/>
  </si>
  <si>
    <t>T3.8*500</t>
    <phoneticPr fontId="1" type="noConversion"/>
  </si>
  <si>
    <t>T4.3*620B</t>
    <phoneticPr fontId="1" type="noConversion"/>
  </si>
  <si>
    <t>7D*500（H）</t>
    <phoneticPr fontId="1" type="noConversion"/>
  </si>
  <si>
    <t>9D*620</t>
    <phoneticPr fontId="1" type="noConversion"/>
  </si>
  <si>
    <t>上海绥宝</t>
    <phoneticPr fontId="1" type="noConversion"/>
  </si>
  <si>
    <t>3U</t>
    <phoneticPr fontId="1" type="noConversion"/>
  </si>
  <si>
    <t>7D*42*4</t>
  </si>
  <si>
    <t>8*28*4</t>
    <phoneticPr fontId="1" type="noConversion"/>
  </si>
  <si>
    <t>7D*28*3</t>
    <phoneticPr fontId="1" type="noConversion"/>
  </si>
  <si>
    <t>郑州华翔</t>
    <phoneticPr fontId="1" type="noConversion"/>
  </si>
  <si>
    <t>东丽PPMZ成品膜</t>
    <phoneticPr fontId="1" type="noConversion"/>
  </si>
  <si>
    <t>5*25*1.5</t>
    <phoneticPr fontId="1" type="noConversion"/>
  </si>
  <si>
    <t>6*9*1.5</t>
    <phoneticPr fontId="1" type="noConversion"/>
  </si>
  <si>
    <t>7*21*1.5</t>
    <phoneticPr fontId="1" type="noConversion"/>
  </si>
  <si>
    <t>5*14*1.5</t>
    <phoneticPr fontId="1" type="noConversion"/>
  </si>
  <si>
    <t>5*21*1.5</t>
    <phoneticPr fontId="1" type="noConversion"/>
  </si>
  <si>
    <t>4.3*20*1.5</t>
    <phoneticPr fontId="1" type="noConversion"/>
  </si>
  <si>
    <t>膜蒸镀加工ZATH-S</t>
    <phoneticPr fontId="1" type="noConversion"/>
  </si>
  <si>
    <t>3.8*20*1.5</t>
    <phoneticPr fontId="1" type="noConversion"/>
  </si>
  <si>
    <t>MPET4.4*4.5*0.5*2.0</t>
    <phoneticPr fontId="1" type="noConversion"/>
  </si>
  <si>
    <t>MPET3*7*0.5*2.</t>
    <phoneticPr fontId="1" type="noConversion"/>
  </si>
  <si>
    <t>薄膜蒸发分切加工费</t>
    <phoneticPr fontId="1" type="noConversion"/>
  </si>
  <si>
    <t>MPET16*4.5*1.2</t>
    <phoneticPr fontId="1" type="noConversion"/>
  </si>
  <si>
    <t>8U</t>
    <phoneticPr fontId="1" type="noConversion"/>
  </si>
  <si>
    <t>T4.55*500</t>
    <phoneticPr fontId="1" type="noConversion"/>
  </si>
  <si>
    <t>8D*620(H)</t>
    <phoneticPr fontId="1" type="noConversion"/>
  </si>
  <si>
    <t>12*500</t>
    <phoneticPr fontId="1" type="noConversion"/>
  </si>
  <si>
    <t>BOPET薄膜</t>
    <phoneticPr fontId="1" type="noConversion"/>
  </si>
  <si>
    <t>11XU</t>
    <phoneticPr fontId="1" type="noConversion"/>
  </si>
  <si>
    <t>6.8*60*4</t>
    <phoneticPr fontId="1" type="noConversion"/>
  </si>
  <si>
    <t>上海莱宝</t>
    <phoneticPr fontId="1" type="noConversion"/>
  </si>
  <si>
    <t>薄膜蒸镀</t>
    <phoneticPr fontId="1" type="noConversion"/>
  </si>
  <si>
    <t>4.5*25*1.5</t>
    <phoneticPr fontId="1" type="noConversion"/>
  </si>
  <si>
    <t>3.8*14*1</t>
    <phoneticPr fontId="1" type="noConversion"/>
  </si>
  <si>
    <t>3.8*19*1镀切</t>
    <phoneticPr fontId="1" type="noConversion"/>
  </si>
  <si>
    <t>12*22*2.5</t>
    <phoneticPr fontId="1" type="noConversion"/>
  </si>
  <si>
    <t>10*7*2镀切</t>
    <phoneticPr fontId="1" type="noConversion"/>
  </si>
  <si>
    <t>MPET3*4.5*0.5*</t>
    <phoneticPr fontId="1" type="noConversion"/>
  </si>
  <si>
    <t>MPP7*6.5*1*2</t>
    <phoneticPr fontId="1" type="noConversion"/>
  </si>
  <si>
    <t>MPET8*4.5*0.5*</t>
    <phoneticPr fontId="1" type="noConversion"/>
  </si>
  <si>
    <t>MPET11.3*7*2*2</t>
    <phoneticPr fontId="1" type="noConversion"/>
  </si>
  <si>
    <t>4.5*20*1.5</t>
    <phoneticPr fontId="1" type="noConversion"/>
  </si>
  <si>
    <t>3.8*19*1</t>
    <phoneticPr fontId="1" type="noConversion"/>
  </si>
  <si>
    <t>成品膜PET</t>
    <phoneticPr fontId="1" type="noConversion"/>
  </si>
  <si>
    <t>11.3*10</t>
    <phoneticPr fontId="1" type="noConversion"/>
  </si>
  <si>
    <t>11.3*4.5*0.4</t>
    <phoneticPr fontId="1" type="noConversion"/>
  </si>
  <si>
    <t>16U</t>
    <phoneticPr fontId="1" type="noConversion"/>
  </si>
  <si>
    <t>金属化薄膜</t>
    <phoneticPr fontId="1" type="noConversion"/>
  </si>
  <si>
    <t>MPET1.8*4.5*0.5*2</t>
    <phoneticPr fontId="1" type="noConversion"/>
  </si>
  <si>
    <t>7*42*3</t>
    <phoneticPr fontId="1" type="noConversion"/>
  </si>
  <si>
    <t>7*20*2</t>
    <phoneticPr fontId="1" type="noConversion"/>
  </si>
  <si>
    <t>7D*50*4</t>
    <phoneticPr fontId="1" type="noConversion"/>
  </si>
  <si>
    <t>8D*28*4</t>
    <phoneticPr fontId="1" type="noConversion"/>
  </si>
  <si>
    <t>8D*500</t>
    <phoneticPr fontId="1" type="noConversion"/>
  </si>
  <si>
    <t>8D*620</t>
    <phoneticPr fontId="1" type="noConversion"/>
  </si>
  <si>
    <t>3.8*40*3</t>
    <phoneticPr fontId="1" type="noConversion"/>
  </si>
  <si>
    <t>10*7*2</t>
    <phoneticPr fontId="1" type="noConversion"/>
  </si>
  <si>
    <t>6*25*1.5</t>
    <phoneticPr fontId="1" type="noConversion"/>
  </si>
  <si>
    <t>10*9*2</t>
    <phoneticPr fontId="1" type="noConversion"/>
  </si>
  <si>
    <t>7*14*1.5</t>
    <phoneticPr fontId="1" type="noConversion"/>
  </si>
  <si>
    <t>8*14*2</t>
    <phoneticPr fontId="1" type="noConversion"/>
  </si>
  <si>
    <t>9*14*2</t>
    <phoneticPr fontId="1" type="noConversion"/>
  </si>
  <si>
    <t>6*7*1.5</t>
    <phoneticPr fontId="1" type="noConversion"/>
  </si>
  <si>
    <t>7*7*1.5</t>
    <phoneticPr fontId="1" type="noConversion"/>
  </si>
  <si>
    <t>8*7*1.5</t>
    <phoneticPr fontId="1" type="noConversion"/>
  </si>
  <si>
    <t>7*25*1.5</t>
    <phoneticPr fontId="1" type="noConversion"/>
  </si>
  <si>
    <t>6*21*1.5</t>
    <phoneticPr fontId="1" type="noConversion"/>
  </si>
  <si>
    <t>8*9*1.5</t>
    <phoneticPr fontId="1" type="noConversion"/>
  </si>
  <si>
    <t>6*9*1.5</t>
    <phoneticPr fontId="1" type="noConversion"/>
  </si>
  <si>
    <t>3.8*14*1</t>
    <phoneticPr fontId="1" type="noConversion"/>
  </si>
  <si>
    <t>膜分切加工ZAPH-S</t>
    <phoneticPr fontId="1" type="noConversion"/>
  </si>
  <si>
    <t>7.8*9*1.5</t>
    <phoneticPr fontId="1" type="noConversion"/>
  </si>
  <si>
    <t>9D*620（H）</t>
    <phoneticPr fontId="1" type="noConversion"/>
  </si>
  <si>
    <t>7D*620（H）</t>
    <phoneticPr fontId="1" type="noConversion"/>
  </si>
  <si>
    <t>3.7*19*1</t>
    <phoneticPr fontId="1" type="noConversion"/>
  </si>
  <si>
    <t>3*7*0.5</t>
    <phoneticPr fontId="1" type="noConversion"/>
  </si>
  <si>
    <t>7.8*7</t>
    <phoneticPr fontId="1" type="noConversion"/>
  </si>
  <si>
    <t>镀膜成品AP-R</t>
    <phoneticPr fontId="1" type="noConversion"/>
  </si>
  <si>
    <t>3.7*25*1.5</t>
    <phoneticPr fontId="1" type="noConversion"/>
  </si>
  <si>
    <t>MPP9*14/15*2L1.5/C3*2</t>
    <phoneticPr fontId="1" type="noConversion"/>
  </si>
  <si>
    <t>4.55*40*3</t>
    <phoneticPr fontId="1" type="noConversion"/>
  </si>
  <si>
    <t>6.8*50*4</t>
    <phoneticPr fontId="1" type="noConversion"/>
  </si>
  <si>
    <t>9D*620</t>
    <phoneticPr fontId="1" type="noConversion"/>
  </si>
  <si>
    <t>8D*620(H)</t>
    <phoneticPr fontId="1" type="noConversion"/>
  </si>
  <si>
    <t>5*21*1</t>
    <phoneticPr fontId="1" type="noConversion"/>
  </si>
  <si>
    <t>镀铝聚丙烯膜</t>
    <phoneticPr fontId="1" type="noConversion"/>
  </si>
  <si>
    <t>7*6.5*1</t>
    <phoneticPr fontId="1" type="noConversion"/>
  </si>
  <si>
    <t>5*14*1.5</t>
    <phoneticPr fontId="1" type="noConversion"/>
  </si>
  <si>
    <t>7*21*1.5</t>
    <phoneticPr fontId="1" type="noConversion"/>
  </si>
  <si>
    <t>9*14*1.5</t>
    <phoneticPr fontId="1" type="noConversion"/>
  </si>
  <si>
    <t>9*15*3</t>
    <phoneticPr fontId="1" type="noConversion"/>
  </si>
  <si>
    <t>5*21*1.5</t>
    <phoneticPr fontId="1" type="noConversion"/>
  </si>
  <si>
    <t>6*9*1</t>
    <phoneticPr fontId="1" type="noConversion"/>
  </si>
  <si>
    <t>10*14*2.5</t>
    <phoneticPr fontId="1" type="noConversion"/>
  </si>
  <si>
    <t>11.8*22*2</t>
    <phoneticPr fontId="1" type="noConversion"/>
  </si>
  <si>
    <t>7*20*2镀切</t>
    <phoneticPr fontId="1" type="noConversion"/>
  </si>
  <si>
    <t>4.6*25*1.5</t>
    <phoneticPr fontId="1" type="noConversion"/>
  </si>
  <si>
    <t>薄膜分切加工费</t>
    <phoneticPr fontId="1" type="noConversion"/>
  </si>
  <si>
    <t>3.8*25*1.5</t>
    <phoneticPr fontId="1" type="noConversion"/>
  </si>
  <si>
    <t>3.7*14*1</t>
    <phoneticPr fontId="1" type="noConversion"/>
  </si>
  <si>
    <t>1.9*7*0.4</t>
    <phoneticPr fontId="1" type="noConversion"/>
  </si>
  <si>
    <t>镀膜成品OPP</t>
    <phoneticPr fontId="1" type="noConversion"/>
  </si>
  <si>
    <t>7.8*20</t>
    <phoneticPr fontId="1" type="noConversion"/>
  </si>
  <si>
    <t>镀膜成品AP-T</t>
    <phoneticPr fontId="1" type="noConversion"/>
  </si>
  <si>
    <t>7.8*20双1.5</t>
    <phoneticPr fontId="1" type="noConversion"/>
  </si>
  <si>
    <t>8.8*25*1.5</t>
    <phoneticPr fontId="1" type="noConversion"/>
  </si>
  <si>
    <t>4.8*15</t>
    <phoneticPr fontId="1" type="noConversion"/>
  </si>
  <si>
    <t>7*28*3</t>
    <phoneticPr fontId="1" type="noConversion"/>
  </si>
  <si>
    <t>9*28*3</t>
    <phoneticPr fontId="1" type="noConversion"/>
  </si>
  <si>
    <t>9*28*4</t>
    <phoneticPr fontId="1" type="noConversion"/>
  </si>
  <si>
    <t>8D*60*4</t>
    <phoneticPr fontId="1" type="noConversion"/>
  </si>
  <si>
    <t>7D*60*4</t>
    <phoneticPr fontId="1" type="noConversion"/>
  </si>
  <si>
    <t>6.8*42*4</t>
    <phoneticPr fontId="1" type="noConversion"/>
  </si>
  <si>
    <t>.</t>
    <phoneticPr fontId="1" type="noConversion"/>
  </si>
  <si>
    <t>3.8*14*1</t>
    <phoneticPr fontId="1" type="noConversion"/>
  </si>
  <si>
    <t>7*42*4</t>
  </si>
  <si>
    <t>.</t>
    <phoneticPr fontId="1" type="noConversion"/>
  </si>
  <si>
    <t>1月</t>
    <phoneticPr fontId="1" type="noConversion"/>
  </si>
  <si>
    <t>数量</t>
    <phoneticPr fontId="1" type="noConversion"/>
  </si>
  <si>
    <t>1.4*4.5*0.4</t>
    <phoneticPr fontId="1" type="noConversion"/>
  </si>
  <si>
    <t>10*9*1.5</t>
    <phoneticPr fontId="1" type="noConversion"/>
  </si>
  <si>
    <t>7*7*1</t>
    <phoneticPr fontId="1" type="noConversion"/>
  </si>
  <si>
    <t>镀膜半成品ZAPH-S</t>
    <phoneticPr fontId="1" type="noConversion"/>
  </si>
  <si>
    <t>4.8*25*1.5</t>
    <phoneticPr fontId="1" type="noConversion"/>
  </si>
  <si>
    <t>11.8*22双2</t>
    <phoneticPr fontId="1" type="noConversion"/>
  </si>
  <si>
    <t>金额</t>
    <phoneticPr fontId="1" type="noConversion"/>
  </si>
  <si>
    <t>11.8*22</t>
    <phoneticPr fontId="1" type="noConversion"/>
  </si>
  <si>
    <t>2*7*0.5</t>
    <phoneticPr fontId="1" type="noConversion"/>
  </si>
  <si>
    <t>6.8*20*2</t>
    <phoneticPr fontId="1" type="noConversion"/>
  </si>
  <si>
    <t>6D*620（H）</t>
    <phoneticPr fontId="1" type="noConversion"/>
  </si>
  <si>
    <t>2月</t>
    <phoneticPr fontId="1" type="noConversion"/>
  </si>
  <si>
    <t>数量</t>
    <phoneticPr fontId="1" type="noConversion"/>
  </si>
  <si>
    <t>金额</t>
    <phoneticPr fontId="1" type="noConversion"/>
  </si>
  <si>
    <t>3.8*19*1</t>
    <phoneticPr fontId="1" type="noConversion"/>
  </si>
  <si>
    <t>镀膜成品ZATH-TD</t>
    <phoneticPr fontId="1" type="noConversion"/>
  </si>
  <si>
    <t>4.2*14*1</t>
    <phoneticPr fontId="1" type="noConversion"/>
  </si>
  <si>
    <t>扬州瑞腾</t>
    <phoneticPr fontId="1" type="noConversion"/>
  </si>
  <si>
    <t>镀膜</t>
    <phoneticPr fontId="1" type="noConversion"/>
  </si>
  <si>
    <t>分切</t>
    <phoneticPr fontId="1" type="noConversion"/>
  </si>
  <si>
    <t>PPZN8*9*1.5</t>
    <phoneticPr fontId="1" type="noConversion"/>
  </si>
  <si>
    <t>PEZN4.3*50*3</t>
    <phoneticPr fontId="1" type="noConversion"/>
  </si>
  <si>
    <t>PPZN10*7*2</t>
    <phoneticPr fontId="1" type="noConversion"/>
  </si>
  <si>
    <t>T3.8*500B</t>
    <phoneticPr fontId="1" type="noConversion"/>
  </si>
  <si>
    <t>宁波德隆</t>
    <phoneticPr fontId="1" type="noConversion"/>
  </si>
  <si>
    <t>东丽-双面膜</t>
    <phoneticPr fontId="1" type="noConversion"/>
  </si>
  <si>
    <t>4.4*500成品</t>
    <phoneticPr fontId="1" type="noConversion"/>
  </si>
  <si>
    <t>东丽加工</t>
    <phoneticPr fontId="1" type="noConversion"/>
  </si>
  <si>
    <t>金属化膜</t>
    <phoneticPr fontId="1" type="noConversion"/>
  </si>
  <si>
    <t>6.0MTJ2*21.0*1.5</t>
    <phoneticPr fontId="1" type="noConversion"/>
  </si>
  <si>
    <t>6.0MTJ2*25.0*1.5</t>
    <phoneticPr fontId="1" type="noConversion"/>
  </si>
  <si>
    <t>4.0MTJ2*35.0*2.0</t>
    <phoneticPr fontId="1" type="noConversion"/>
  </si>
  <si>
    <t>4*14*1</t>
    <phoneticPr fontId="1" type="noConversion"/>
  </si>
  <si>
    <t>3.8*9*1</t>
    <phoneticPr fontId="1" type="noConversion"/>
  </si>
  <si>
    <t>10.0MTM6*7.0*2.0</t>
    <phoneticPr fontId="1" type="noConversion"/>
  </si>
  <si>
    <t>9D*500（H）</t>
    <phoneticPr fontId="1" type="noConversion"/>
  </si>
  <si>
    <t>1.9*4.5*0.4</t>
    <phoneticPr fontId="1" type="noConversion"/>
  </si>
  <si>
    <t>16*4.5*0.4</t>
    <phoneticPr fontId="1" type="noConversion"/>
  </si>
  <si>
    <t>镀膜成品ZATH-S</t>
    <phoneticPr fontId="1" type="noConversion"/>
  </si>
  <si>
    <t>4.6*14*1</t>
    <phoneticPr fontId="1" type="noConversion"/>
  </si>
  <si>
    <t>9.8*7*2</t>
    <phoneticPr fontId="1" type="noConversion"/>
  </si>
  <si>
    <t>5.8*21*1.5</t>
    <phoneticPr fontId="1" type="noConversion"/>
  </si>
  <si>
    <t>4.8*26*1</t>
    <phoneticPr fontId="1" type="noConversion"/>
  </si>
  <si>
    <t>镀膜成品AP-S</t>
    <phoneticPr fontId="1" type="noConversion"/>
  </si>
  <si>
    <t>11.8*4.5*1</t>
    <phoneticPr fontId="1" type="noConversion"/>
  </si>
  <si>
    <t>3.8*35*1.5</t>
    <phoneticPr fontId="1" type="noConversion"/>
  </si>
  <si>
    <t>镀膜半成品ADT</t>
    <phoneticPr fontId="1" type="noConversion"/>
  </si>
  <si>
    <t>4.6*500</t>
    <phoneticPr fontId="1" type="noConversion"/>
  </si>
  <si>
    <t>5.8*25*1.5</t>
    <phoneticPr fontId="1" type="noConversion"/>
  </si>
  <si>
    <t>泉州嘉德利</t>
    <phoneticPr fontId="1" type="noConversion"/>
  </si>
  <si>
    <t>电容器用聚丙烯薄膜</t>
    <phoneticPr fontId="1" type="noConversion"/>
  </si>
  <si>
    <t>7HDA*620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</si>
  <si>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</si>
  <si>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</si>
  <si>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</si>
  <si>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数量</t>
    <phoneticPr fontId="1" type="noConversion"/>
  </si>
  <si>
    <t>金额</t>
    <phoneticPr fontId="1" type="noConversion"/>
  </si>
  <si>
    <t>单价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</si>
  <si>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</si>
  <si>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</si>
  <si>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</si>
  <si>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7*60*4</t>
    <phoneticPr fontId="1" type="noConversion"/>
  </si>
  <si>
    <t>4.8*14*1.5</t>
    <phoneticPr fontId="1" type="noConversion"/>
  </si>
  <si>
    <t>6.8*6.5*1</t>
    <phoneticPr fontId="1" type="noConversion"/>
  </si>
  <si>
    <t>60/ 64</t>
    <phoneticPr fontId="1" type="noConversion"/>
  </si>
  <si>
    <t>8.8*14*2</t>
    <phoneticPr fontId="1" type="noConversion"/>
  </si>
  <si>
    <t>5.8*14*1.5</t>
    <phoneticPr fontId="1" type="noConversion"/>
  </si>
  <si>
    <t>3.4*14*1</t>
    <phoneticPr fontId="1" type="noConversion"/>
  </si>
  <si>
    <t>4.3*26*1</t>
    <phoneticPr fontId="1" type="noConversion"/>
  </si>
  <si>
    <t>镀膜成品AT-S</t>
    <phoneticPr fontId="1" type="noConversion"/>
  </si>
  <si>
    <t>4.6*4.5*0.4</t>
    <phoneticPr fontId="1" type="noConversion"/>
  </si>
  <si>
    <t>镀膜半成品ZAPH-S</t>
    <phoneticPr fontId="1" type="noConversion"/>
  </si>
  <si>
    <t>3.8*25*1.5</t>
    <phoneticPr fontId="1" type="noConversion"/>
  </si>
  <si>
    <t>3.4*500</t>
    <phoneticPr fontId="1" type="noConversion"/>
  </si>
  <si>
    <t>7.8*13</t>
    <phoneticPr fontId="1" type="noConversion"/>
  </si>
  <si>
    <t>镀膜成品ZAPH-S</t>
    <phoneticPr fontId="1" type="noConversion"/>
  </si>
  <si>
    <t>3.4*14*1</t>
    <phoneticPr fontId="1" type="noConversion"/>
  </si>
  <si>
    <t>3.8*25*1.5</t>
    <phoneticPr fontId="1" type="noConversion"/>
  </si>
  <si>
    <t>10*500（H）</t>
    <phoneticPr fontId="1" type="noConversion"/>
  </si>
  <si>
    <t>广东迈特斐</t>
    <phoneticPr fontId="1" type="noConversion"/>
  </si>
  <si>
    <t>薄膜</t>
    <phoneticPr fontId="1" type="noConversion"/>
  </si>
  <si>
    <t>9月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</si>
  <si>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</si>
  <si>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</si>
  <si>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</si>
  <si>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5*14*1</t>
    <phoneticPr fontId="1" type="noConversion"/>
  </si>
  <si>
    <t>4.5*26*1</t>
    <phoneticPr fontId="1" type="noConversion"/>
  </si>
  <si>
    <t>法拉成品膜</t>
    <phoneticPr fontId="1" type="noConversion"/>
  </si>
  <si>
    <t>T1.4*4.5*0.4</t>
    <phoneticPr fontId="1" type="noConversion"/>
  </si>
  <si>
    <t>4.3ALS4*9.0T3*1.0</t>
    <phoneticPr fontId="1" type="noConversion"/>
  </si>
  <si>
    <t>4.3ALS4*14.0T3*1.0</t>
    <phoneticPr fontId="1" type="noConversion"/>
  </si>
  <si>
    <t>泉州ZAPH-S</t>
    <phoneticPr fontId="1" type="noConversion"/>
  </si>
  <si>
    <t>4.3*26*1半成品</t>
    <phoneticPr fontId="1" type="noConversion"/>
  </si>
  <si>
    <t>9.8*21</t>
    <phoneticPr fontId="1" type="noConversion"/>
  </si>
  <si>
    <t>4.8*21*1.5</t>
    <phoneticPr fontId="1" type="noConversion"/>
  </si>
  <si>
    <t>10月</t>
    <phoneticPr fontId="1" type="noConversion"/>
  </si>
  <si>
    <t>数量</t>
    <phoneticPr fontId="1" type="noConversion"/>
  </si>
  <si>
    <t>金额</t>
    <phoneticPr fontId="1" type="noConversion"/>
  </si>
  <si>
    <t>单价</t>
    <phoneticPr fontId="1" type="noConversion"/>
  </si>
  <si>
    <t>5*9*1</t>
    <phoneticPr fontId="1" type="noConversion"/>
  </si>
  <si>
    <t>4.3*26*1</t>
    <phoneticPr fontId="1" type="noConversion"/>
  </si>
  <si>
    <t>T3.7*500</t>
    <phoneticPr fontId="1" type="noConversion"/>
  </si>
  <si>
    <t>6*14*1.5半成品</t>
    <phoneticPr fontId="1" type="noConversion"/>
  </si>
  <si>
    <t>11月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</si>
  <si>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</si>
  <si>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</si>
  <si>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</si>
  <si>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镀锌铜丝</t>
    <phoneticPr fontId="1" type="noConversion"/>
  </si>
  <si>
    <t>9D*28*4</t>
    <phoneticPr fontId="1" type="noConversion"/>
  </si>
  <si>
    <t>3.7*20*1.5</t>
    <phoneticPr fontId="1" type="noConversion"/>
  </si>
  <si>
    <t>4.3*26*1</t>
    <phoneticPr fontId="1" type="noConversion"/>
  </si>
  <si>
    <t>12月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</si>
  <si>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</si>
  <si>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</si>
  <si>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</si>
  <si>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6.8*14*1.5</t>
    <phoneticPr fontId="1" type="noConversion"/>
  </si>
  <si>
    <t>3.8*24*1</t>
    <phoneticPr fontId="1" type="noConversion"/>
  </si>
  <si>
    <t>4.2*26*1</t>
    <phoneticPr fontId="1" type="noConversion"/>
  </si>
  <si>
    <t>6.8*25*1.5</t>
    <phoneticPr fontId="1" type="noConversion"/>
  </si>
  <si>
    <t>12*500(H)</t>
    <phoneticPr fontId="1" type="noConversion"/>
  </si>
  <si>
    <t>8*60*4</t>
    <phoneticPr fontId="1" type="noConversion"/>
  </si>
  <si>
    <t>4*28*3</t>
    <phoneticPr fontId="1" type="noConversion"/>
  </si>
  <si>
    <t>50/ 48</t>
    <phoneticPr fontId="1" type="noConversion"/>
  </si>
  <si>
    <t>3.4*500</t>
    <phoneticPr fontId="1" type="noConversion"/>
  </si>
  <si>
    <t>8.8*14*2</t>
    <phoneticPr fontId="1" type="noConversion"/>
  </si>
  <si>
    <t>4.8*14*1.5</t>
    <phoneticPr fontId="1" type="noConversion"/>
  </si>
  <si>
    <t>5.8*30*2</t>
    <phoneticPr fontId="1" type="noConversion"/>
  </si>
  <si>
    <t>4.8*40*2</t>
    <phoneticPr fontId="1" type="noConversion"/>
  </si>
  <si>
    <t>3.4*24*1</t>
    <phoneticPr fontId="1" type="noConversion"/>
  </si>
  <si>
    <t>3.7*7*0.7</t>
    <phoneticPr fontId="1" type="noConversion"/>
  </si>
  <si>
    <t>3.7*20*1.5</t>
    <phoneticPr fontId="1" type="noConversion"/>
  </si>
  <si>
    <t>8*500(H)</t>
    <phoneticPr fontId="1" type="noConversion"/>
  </si>
  <si>
    <t>3.7*19*1</t>
    <phoneticPr fontId="1" type="noConversion"/>
  </si>
  <si>
    <t>3.7*14*1</t>
    <phoneticPr fontId="1" type="noConversion"/>
  </si>
  <si>
    <t>3.7*20*1.5</t>
    <phoneticPr fontId="1" type="noConversion"/>
  </si>
  <si>
    <t>3.7*30*1.5</t>
    <phoneticPr fontId="1" type="noConversion"/>
  </si>
  <si>
    <t>50和48</t>
    <phoneticPr fontId="1" type="noConversion"/>
  </si>
  <si>
    <t>79.5和84.3</t>
    <phoneticPr fontId="1" type="noConversion"/>
  </si>
  <si>
    <t>10*7*2成品</t>
    <phoneticPr fontId="1" type="noConversion"/>
  </si>
  <si>
    <t>4.8*9*1成品</t>
    <phoneticPr fontId="1" type="noConversion"/>
  </si>
  <si>
    <t>6.8*21*2</t>
    <phoneticPr fontId="1" type="noConversion"/>
  </si>
  <si>
    <t>镀膜半成品ZATH-S</t>
    <phoneticPr fontId="1" type="noConversion"/>
  </si>
  <si>
    <t>3.7*14*1</t>
    <phoneticPr fontId="1" type="noConversion"/>
  </si>
  <si>
    <t>3.7*20*1.5</t>
    <phoneticPr fontId="1" type="noConversion"/>
  </si>
  <si>
    <t>3.7*25*1.5</t>
    <phoneticPr fontId="1" type="noConversion"/>
  </si>
  <si>
    <t>3.7*19*1</t>
    <phoneticPr fontId="1" type="noConversion"/>
  </si>
  <si>
    <t>4.0ALS4*14.0T3*1.5</t>
    <phoneticPr fontId="1" type="noConversion"/>
  </si>
  <si>
    <t>泉州AP-T</t>
    <phoneticPr fontId="1" type="noConversion"/>
  </si>
  <si>
    <t>泉州AP-M</t>
    <phoneticPr fontId="1" type="noConversion"/>
  </si>
  <si>
    <t>9*14双1.5半成品</t>
    <phoneticPr fontId="1" type="noConversion"/>
  </si>
  <si>
    <t>9*11中3半成品</t>
    <phoneticPr fontId="1" type="noConversion"/>
  </si>
  <si>
    <t>MPP9*15*C3*2</t>
    <phoneticPr fontId="1" type="noConversion"/>
  </si>
  <si>
    <t>MPET11.3*4.5*1</t>
    <phoneticPr fontId="1" type="noConversion"/>
  </si>
  <si>
    <t>新会ZAPH-S</t>
    <phoneticPr fontId="1" type="noConversion"/>
  </si>
  <si>
    <t>4.8*14*1.5</t>
    <phoneticPr fontId="1" type="noConversion"/>
  </si>
  <si>
    <t>4.8*21*1.5半成品</t>
    <phoneticPr fontId="1" type="noConversion"/>
  </si>
  <si>
    <t>5*14*1.5半成品</t>
    <phoneticPr fontId="1" type="noConversion"/>
  </si>
  <si>
    <t>10*7*2半成品</t>
    <phoneticPr fontId="1" type="noConversion"/>
  </si>
  <si>
    <t>7*21*2</t>
    <phoneticPr fontId="1" type="noConversion"/>
  </si>
  <si>
    <t>3.7*25*1.5</t>
    <phoneticPr fontId="1" type="noConversion"/>
  </si>
  <si>
    <t>8*14*2半成品</t>
    <phoneticPr fontId="1" type="noConversion"/>
  </si>
  <si>
    <t>9*30*2</t>
    <phoneticPr fontId="1" type="noConversion"/>
  </si>
  <si>
    <t>9*14*2</t>
    <phoneticPr fontId="1" type="noConversion"/>
  </si>
  <si>
    <t>新会AP-T</t>
    <phoneticPr fontId="1" type="noConversion"/>
  </si>
  <si>
    <t>9*14双1.5镀切</t>
    <phoneticPr fontId="1" type="noConversion"/>
  </si>
  <si>
    <t>新会AP-M</t>
    <phoneticPr fontId="1" type="noConversion"/>
  </si>
  <si>
    <t>9*15中3镀切</t>
    <phoneticPr fontId="1" type="noConversion"/>
  </si>
  <si>
    <t>7*14*1.5</t>
    <phoneticPr fontId="1" type="noConversion"/>
  </si>
  <si>
    <t>3.7*19*1</t>
    <phoneticPr fontId="1" type="noConversion"/>
  </si>
  <si>
    <t>镀锌铝聚丙烯膜</t>
    <phoneticPr fontId="1" type="noConversion"/>
  </si>
  <si>
    <t>4.8*9*1</t>
    <phoneticPr fontId="1" type="noConversion"/>
  </si>
  <si>
    <t>4.5*500</t>
    <phoneticPr fontId="1" type="noConversion"/>
  </si>
  <si>
    <t>9*18中3镀切</t>
    <phoneticPr fontId="1" type="noConversion"/>
  </si>
  <si>
    <t>6.8*21*2</t>
    <phoneticPr fontId="1" type="noConversion"/>
  </si>
  <si>
    <t>4.3HA*620</t>
    <phoneticPr fontId="1" type="noConversion"/>
  </si>
  <si>
    <t>5HDA*620</t>
    <phoneticPr fontId="1" type="noConversion"/>
  </si>
  <si>
    <t>5.8*9*1</t>
    <phoneticPr fontId="1" type="noConversion"/>
  </si>
  <si>
    <t>6*14*1.5</t>
    <phoneticPr fontId="1" type="noConversion"/>
  </si>
  <si>
    <t>6*25*1.5</t>
    <phoneticPr fontId="1" type="noConversion"/>
  </si>
  <si>
    <t>4.2*26*1</t>
    <phoneticPr fontId="1" type="noConversion"/>
  </si>
  <si>
    <t>5*21*1.5</t>
    <phoneticPr fontId="1" type="noConversion"/>
  </si>
  <si>
    <t>10*7*2半成品</t>
    <phoneticPr fontId="1" type="noConversion"/>
  </si>
  <si>
    <t>T3.7*620</t>
    <phoneticPr fontId="1" type="noConversion"/>
  </si>
  <si>
    <t>67.5/62</t>
    <phoneticPr fontId="1" type="noConversion"/>
  </si>
  <si>
    <t>16*4.5*1</t>
    <phoneticPr fontId="1" type="noConversion"/>
  </si>
  <si>
    <t>6.8*21*1.5</t>
    <phoneticPr fontId="1" type="noConversion"/>
  </si>
  <si>
    <t>6*14*1.5   （jdl62）</t>
    <phoneticPr fontId="1" type="noConversion"/>
  </si>
  <si>
    <t>MPET 11.3*7*2*2</t>
    <phoneticPr fontId="1" type="noConversion"/>
  </si>
  <si>
    <t>MPET 11.3*4.5*1</t>
    <phoneticPr fontId="1" type="noConversion"/>
  </si>
  <si>
    <t>MPET 1.8*4.5*0.5*2</t>
    <phoneticPr fontId="1" type="noConversion"/>
  </si>
  <si>
    <t>MPET 8*4.5*0.5*</t>
    <phoneticPr fontId="1" type="noConversion"/>
  </si>
  <si>
    <t>MPP 7*6.5*1*2</t>
    <phoneticPr fontId="1" type="noConversion"/>
  </si>
  <si>
    <t>MPET 3*4.5*0.5*</t>
    <phoneticPr fontId="1" type="noConversion"/>
  </si>
  <si>
    <t>MPET 16*4.5*1.2</t>
    <phoneticPr fontId="1" type="noConversion"/>
  </si>
  <si>
    <t>MPET 3*7*0.5*2.</t>
    <phoneticPr fontId="1" type="noConversion"/>
  </si>
  <si>
    <t>MPET 4.4*4.5*0.5*2.0</t>
    <phoneticPr fontId="1" type="noConversion"/>
  </si>
  <si>
    <t>MPP 9*15*C3*2</t>
    <phoneticPr fontId="1" type="noConversion"/>
  </si>
  <si>
    <t>MPP 9*14/15*2L1.5/C3*2</t>
    <phoneticPr fontId="1" type="noConversion"/>
  </si>
  <si>
    <t>7.8*30*1.5</t>
    <phoneticPr fontId="1" type="noConversion"/>
  </si>
  <si>
    <t>8.8*25*1.5</t>
    <phoneticPr fontId="1" type="noConversion"/>
  </si>
  <si>
    <t>6.8*21*2</t>
    <phoneticPr fontId="1" type="noConversion"/>
  </si>
  <si>
    <t>镀膜成品PET</t>
    <phoneticPr fontId="1" type="noConversion"/>
  </si>
  <si>
    <t>11.3*13</t>
    <phoneticPr fontId="1" type="noConversion"/>
  </si>
  <si>
    <t>7*8</t>
    <phoneticPr fontId="1" type="noConversion"/>
  </si>
  <si>
    <t>3.4*14*1锌铝</t>
    <phoneticPr fontId="1" type="noConversion"/>
  </si>
  <si>
    <t>T3.4*500</t>
    <phoneticPr fontId="1" type="noConversion"/>
  </si>
  <si>
    <t>7.0MTJ2*21.0*2.0</t>
    <phoneticPr fontId="1" type="noConversion"/>
  </si>
  <si>
    <t>5.8*25*1.5</t>
    <phoneticPr fontId="1" type="noConversion"/>
  </si>
  <si>
    <t>9*40*2.5</t>
    <phoneticPr fontId="1" type="noConversion"/>
  </si>
  <si>
    <t>9*18*1.5</t>
    <phoneticPr fontId="1" type="noConversion"/>
  </si>
  <si>
    <t>9*21</t>
    <phoneticPr fontId="1" type="noConversion"/>
  </si>
  <si>
    <t>6*13</t>
    <phoneticPr fontId="1" type="noConversion"/>
  </si>
  <si>
    <t>东丽ATD</t>
    <phoneticPr fontId="1" type="noConversion"/>
  </si>
  <si>
    <t>镀膜成品ZAP-S</t>
    <phoneticPr fontId="1" type="noConversion"/>
  </si>
  <si>
    <t>5.8*4.5*0.5</t>
    <phoneticPr fontId="1" type="noConversion"/>
  </si>
  <si>
    <t>镀膜成品ZAPH-S</t>
    <phoneticPr fontId="1" type="noConversion"/>
  </si>
  <si>
    <t>5.8*6.8*0.8</t>
    <phoneticPr fontId="1" type="noConversion"/>
  </si>
  <si>
    <t>8.8*13</t>
    <phoneticPr fontId="1" type="noConversion"/>
  </si>
  <si>
    <t>10D*620（H）</t>
    <phoneticPr fontId="1" type="noConversion"/>
  </si>
  <si>
    <t>锌铝成品膜</t>
    <phoneticPr fontId="1" type="noConversion"/>
  </si>
  <si>
    <t>7D*21*2</t>
    <phoneticPr fontId="1" type="noConversion"/>
  </si>
  <si>
    <t>21（个）</t>
    <phoneticPr fontId="1" type="noConversion"/>
  </si>
  <si>
    <t>大东南</t>
    <phoneticPr fontId="1" type="noConversion"/>
  </si>
  <si>
    <t>镀铝膜</t>
    <phoneticPr fontId="1" type="noConversion"/>
  </si>
  <si>
    <t>7.8*14*2</t>
    <phoneticPr fontId="1" type="noConversion"/>
  </si>
  <si>
    <t>镀膜成品AT-S（来料镀切</t>
    <phoneticPr fontId="1" type="noConversion"/>
  </si>
  <si>
    <t>3.8*20*1.5</t>
    <phoneticPr fontId="1" type="noConversion"/>
  </si>
  <si>
    <t>镀膜成品AT-S</t>
    <phoneticPr fontId="1" type="noConversion"/>
  </si>
  <si>
    <t>8.8*13 双2</t>
    <phoneticPr fontId="1" type="noConversion"/>
  </si>
  <si>
    <t>7.8*14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</si>
</sst>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C00000"/>
      <name val="宋体"/>
      <family val="2"/>
      <charset val="134"/>
      <scheme val="minor"/>
    </font>
    <font>
      <b/>
      <sz val="11"/>
      <color rgb="FFC00000"/>
      <name val="宋体"/>
      <family val="2"/>
      <charset val="134"/>
      <scheme val="minor"/>
    </font>
    <font>
      <b/>
      <sz val="11"/>
      <color rgb="FFC0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0" xfId="0" applyFill="1" applyBorder="1">
      <alignment vertical="center"/>
    </xf>
    <xf numFmtId="176" fontId="4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Fill="1" applyBorder="1">
      <alignment vertical="center"/>
    </xf>
    <xf numFmtId="176" fontId="0" fillId="0" borderId="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5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0" fillId="0" borderId="5" xfId="0" applyNumberForma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2" fillId="0" borderId="0" xfId="0" applyNumberFormat="1" applyFont="1" applyBorder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4" fillId="0" borderId="1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6" xfId="0" applyNumberFormat="1" applyBorder="1">
      <alignment vertical="center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176" fontId="2" fillId="0" borderId="7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2" fillId="0" borderId="7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7" fontId="0" fillId="0" borderId="0" xfId="0" applyNumberFormat="1" applyFill="1" applyBorder="1" applyAlignment="1">
      <alignment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7" fontId="0" fillId="0" borderId="7" xfId="0" applyNumberForma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177" fontId="0" fillId="0" borderId="0" xfId="0" applyNumberFormat="1" applyBorder="1" applyAlignment="1">
      <alignment vertical="center" shrinkToFit="1"/>
    </xf>
    <xf numFmtId="177" fontId="2" fillId="0" borderId="0" xfId="0" applyNumberFormat="1" applyFont="1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1"/>
  <sheetViews>
    <sheetView topLeftCell="A28" workbookViewId="0">
      <selection activeCell="J41" sqref="J41"/>
    </sheetView>
  </sheetViews>
  <sheetFormatPr defaultRowHeight="14.4"/>
  <cols>
    <col min="2" max="2" width="17.33203125" customWidth="1"/>
    <col min="3" max="3" width="22.33203125" customWidth="1"/>
    <col min="4" max="4" width="9" customWidth="1"/>
    <col min="5" max="5" width="12" hidden="1" customWidth="1"/>
    <col min="6" max="6" width="17" customWidth="1"/>
  </cols>
  <sheetData>
    <row r="1" spans="1:6" ht="10.5" customHeight="1">
      <c r="D1" t="s">
        <v>5</v>
      </c>
      <c r="E1" t="s">
        <v>6</v>
      </c>
      <c r="F1" t="s">
        <v>7</v>
      </c>
    </row>
    <row r="2" spans="1:6">
      <c r="A2" t="s">
        <v>0</v>
      </c>
      <c r="B2" t="s">
        <v>1</v>
      </c>
      <c r="C2" t="s">
        <v>126</v>
      </c>
      <c r="D2">
        <f>82.9</f>
        <v>82.9</v>
      </c>
      <c r="E2">
        <f>42.735042735*1.17</f>
        <v>49.999999999949999</v>
      </c>
      <c r="F2">
        <f>3542.74+602.26</f>
        <v>4145</v>
      </c>
    </row>
    <row r="3" spans="1:6">
      <c r="B3" t="s">
        <v>2</v>
      </c>
      <c r="C3" t="s">
        <v>101</v>
      </c>
      <c r="D3">
        <f>34.7+39.8</f>
        <v>74.5</v>
      </c>
      <c r="E3">
        <f>14.52991453*1.17</f>
        <v>17.000000000099998</v>
      </c>
      <c r="F3">
        <f>504.19+85.71+578.29+98.31</f>
        <v>1266.5</v>
      </c>
    </row>
    <row r="4" spans="1:6">
      <c r="B4" t="s">
        <v>49</v>
      </c>
      <c r="C4" t="s">
        <v>74</v>
      </c>
      <c r="D4">
        <f>138.8+74.5+79.6</f>
        <v>292.89999999999998</v>
      </c>
      <c r="E4">
        <f>14.52991453*1.17</f>
        <v>17.000000000099998</v>
      </c>
      <c r="F4">
        <f>2016.75+342.85+1082.48+184.02+1156.58+196.62</f>
        <v>4979.3</v>
      </c>
    </row>
    <row r="5" spans="1:6">
      <c r="B5" t="s">
        <v>3</v>
      </c>
      <c r="C5" t="s">
        <v>4</v>
      </c>
      <c r="D5">
        <f>14.9+15.5+111.88+109.03+30.98+79.57</f>
        <v>361.86</v>
      </c>
      <c r="E5">
        <f>128.20512821*1.17</f>
        <v>150.0000000057</v>
      </c>
      <c r="F5">
        <f>1910.26+324.74+1987.18+337.82+14343.59+2438.41+13978.21+2376.29+3971.79+675.21+10201.28+1734.22</f>
        <v>54279</v>
      </c>
    </row>
    <row r="6" spans="1:6">
      <c r="B6" t="s">
        <v>3</v>
      </c>
      <c r="C6" t="s">
        <v>107</v>
      </c>
      <c r="D6">
        <f>28.47</f>
        <v>28.47</v>
      </c>
      <c r="E6">
        <f>128.20512821*1.17</f>
        <v>150.0000000057</v>
      </c>
      <c r="F6">
        <f>3650+620.5</f>
        <v>4270.5</v>
      </c>
    </row>
    <row r="7" spans="1:6">
      <c r="B7" t="s">
        <v>49</v>
      </c>
      <c r="C7" t="s">
        <v>131</v>
      </c>
      <c r="D7">
        <f>38.7</f>
        <v>38.700000000000003</v>
      </c>
      <c r="E7">
        <f>14.52991453*1.17</f>
        <v>17.000000000099998</v>
      </c>
      <c r="F7">
        <f>562.31+95.59</f>
        <v>657.9</v>
      </c>
    </row>
    <row r="8" spans="1:6">
      <c r="B8" t="s">
        <v>49</v>
      </c>
      <c r="C8" t="s">
        <v>106</v>
      </c>
      <c r="D8">
        <f>193.5+191.1+387+464.4</f>
        <v>1236</v>
      </c>
      <c r="E8">
        <f>14.52991453*1.17</f>
        <v>17.000000000099998</v>
      </c>
      <c r="F8">
        <f>2811.54+477.96+2776.67+472.03+5485.64+932.56+6747.69+1147.11</f>
        <v>20851.2</v>
      </c>
    </row>
    <row r="9" spans="1:6">
      <c r="B9" t="s">
        <v>49</v>
      </c>
      <c r="C9" t="s">
        <v>110</v>
      </c>
      <c r="D9">
        <f>38.7</f>
        <v>38.700000000000003</v>
      </c>
      <c r="E9">
        <f>14.52991453*1.17</f>
        <v>17.000000000099998</v>
      </c>
      <c r="F9">
        <f>562.31+95.59</f>
        <v>657.9</v>
      </c>
    </row>
    <row r="10" spans="1:6">
      <c r="B10" t="s">
        <v>109</v>
      </c>
      <c r="C10" t="s">
        <v>108</v>
      </c>
      <c r="D10">
        <f>4.19</f>
        <v>4.1900000000000004</v>
      </c>
      <c r="E10">
        <f>55.555555556*1.17</f>
        <v>65.000000000520004</v>
      </c>
      <c r="F10">
        <f>232.78+39.57</f>
        <v>272.35000000000002</v>
      </c>
    </row>
    <row r="11" spans="1:6">
      <c r="B11" t="s">
        <v>133</v>
      </c>
      <c r="C11" t="s">
        <v>138</v>
      </c>
      <c r="D11">
        <f>16.49</f>
        <v>16.489999999999998</v>
      </c>
      <c r="E11">
        <f>47.863247863*1.17</f>
        <v>55.999999999709992</v>
      </c>
      <c r="F11">
        <f>789.26+134.18</f>
        <v>923.44</v>
      </c>
    </row>
    <row r="12" spans="1:6">
      <c r="B12" t="s">
        <v>133</v>
      </c>
      <c r="C12" t="s">
        <v>134</v>
      </c>
      <c r="D12">
        <f>8.69</f>
        <v>8.69</v>
      </c>
      <c r="E12">
        <f>38.461538462*1.17</f>
        <v>45.000000000539998</v>
      </c>
      <c r="F12">
        <f>334.23+56.82</f>
        <v>391.05</v>
      </c>
    </row>
    <row r="13" spans="1:6">
      <c r="B13" t="s">
        <v>135</v>
      </c>
      <c r="C13" t="s">
        <v>136</v>
      </c>
      <c r="D13">
        <f>29.15</f>
        <v>29.15</v>
      </c>
      <c r="E13">
        <f>53.846153846*1.17</f>
        <v>62.999999999819998</v>
      </c>
      <c r="F13">
        <f>1569.62+266.83</f>
        <v>1836.4499999999998</v>
      </c>
    </row>
    <row r="14" spans="1:6">
      <c r="B14" t="s">
        <v>102</v>
      </c>
      <c r="C14" t="s">
        <v>103</v>
      </c>
      <c r="D14">
        <f>76.4</f>
        <v>76.400000000000006</v>
      </c>
      <c r="E14">
        <f>15.384615385*1.17</f>
        <v>18.000000000449997</v>
      </c>
      <c r="F14">
        <f>1175.38+199.82</f>
        <v>1375.2</v>
      </c>
    </row>
    <row r="15" spans="1:6">
      <c r="B15" t="s">
        <v>3</v>
      </c>
      <c r="C15" t="s">
        <v>8</v>
      </c>
      <c r="D15">
        <f>99.05+102.28+103.12</f>
        <v>304.45</v>
      </c>
      <c r="E15">
        <f>53.846153846*1.17</f>
        <v>62.999999999819998</v>
      </c>
      <c r="F15">
        <f>5333.46+906.69+5507.38+936.26+5552.62+943.94</f>
        <v>19180.349999999999</v>
      </c>
    </row>
    <row r="16" spans="1:6">
      <c r="B16" t="s">
        <v>2</v>
      </c>
      <c r="C16" t="s">
        <v>137</v>
      </c>
      <c r="D16">
        <f>28.51</f>
        <v>28.51</v>
      </c>
      <c r="E16">
        <f>53.846153846*1.17</f>
        <v>62.999999999819998</v>
      </c>
      <c r="F16">
        <f>1535.15+260.98</f>
        <v>1796.13</v>
      </c>
    </row>
    <row r="17" spans="1:8">
      <c r="B17" t="s">
        <v>49</v>
      </c>
      <c r="C17" t="s">
        <v>48</v>
      </c>
      <c r="D17">
        <f>133.8+271.3</f>
        <v>405.1</v>
      </c>
      <c r="E17">
        <f>8.5636170838*1.17</f>
        <v>10.019431988046</v>
      </c>
      <c r="F17">
        <f>1145.81+194.79+3247.86+552.14</f>
        <v>5140.6000000000004</v>
      </c>
    </row>
    <row r="18" spans="1:8">
      <c r="B18" t="s">
        <v>49</v>
      </c>
      <c r="C18" t="s">
        <v>50</v>
      </c>
      <c r="D18">
        <f>69.8+199+477.6+238.8</f>
        <v>985.2</v>
      </c>
      <c r="E18">
        <f>14.52991453*1.17</f>
        <v>17.000000000099998</v>
      </c>
      <c r="F18">
        <f>1014.19+172.41+2891.45+491.55+6939.49+1179.71+3469.74+589.86</f>
        <v>16748.399999999998</v>
      </c>
    </row>
    <row r="19" spans="1:8">
      <c r="B19" t="s">
        <v>2</v>
      </c>
      <c r="C19" t="s">
        <v>130</v>
      </c>
      <c r="D19">
        <f>21.78</f>
        <v>21.78</v>
      </c>
      <c r="E19">
        <f>83.760683761*1.17</f>
        <v>98.000000000369994</v>
      </c>
      <c r="F19">
        <f>1824.31+310.13</f>
        <v>2134.44</v>
      </c>
    </row>
    <row r="20" spans="1:8">
      <c r="B20" t="s">
        <v>2</v>
      </c>
      <c r="C20" t="s">
        <v>146</v>
      </c>
      <c r="D20">
        <f>1.36</f>
        <v>1.36</v>
      </c>
      <c r="E20">
        <f>83.760683761*1.17</f>
        <v>98.000000000369994</v>
      </c>
      <c r="F20">
        <f>113.91+19.37</f>
        <v>133.28</v>
      </c>
    </row>
    <row r="21" spans="1:8">
      <c r="B21" t="s">
        <v>49</v>
      </c>
      <c r="C21" t="s">
        <v>73</v>
      </c>
      <c r="D21">
        <f>352.2</f>
        <v>352.2</v>
      </c>
      <c r="E21">
        <f>11.965811966*1.17</f>
        <v>14.00000000022</v>
      </c>
      <c r="F21">
        <f>4214.36+716.44</f>
        <v>4930.7999999999993</v>
      </c>
    </row>
    <row r="22" spans="1:8">
      <c r="B22" t="s">
        <v>75</v>
      </c>
      <c r="C22" t="s">
        <v>76</v>
      </c>
      <c r="D22">
        <f>13.99</f>
        <v>13.99</v>
      </c>
      <c r="E22">
        <f>35.897435897*1.17</f>
        <v>41.999999999490001</v>
      </c>
      <c r="F22">
        <f>502.21+85.37</f>
        <v>587.57999999999993</v>
      </c>
    </row>
    <row r="23" spans="1:8">
      <c r="B23" t="s">
        <v>3</v>
      </c>
      <c r="C23" t="s">
        <v>77</v>
      </c>
      <c r="D23">
        <f>58.3+59.96+44.17</f>
        <v>162.43</v>
      </c>
      <c r="E23">
        <f>54.700854701*1.17</f>
        <v>64.00000000016999</v>
      </c>
      <c r="F23">
        <f>2960+503.2+3279.86+557.58+2416.14+410.74</f>
        <v>10127.519999999999</v>
      </c>
    </row>
    <row r="24" spans="1:8">
      <c r="B24" t="s">
        <v>3</v>
      </c>
      <c r="C24" t="s">
        <v>132</v>
      </c>
      <c r="D24">
        <f>17.45</f>
        <v>17.45</v>
      </c>
      <c r="E24">
        <f>461.53846154*1.17</f>
        <v>540.0000000018</v>
      </c>
      <c r="F24">
        <f>8053.85+1369.15</f>
        <v>9423</v>
      </c>
    </row>
    <row r="25" spans="1:8">
      <c r="D25" s="1">
        <f>SUM(D2:D24)</f>
        <v>4581.42</v>
      </c>
      <c r="F25" s="1">
        <f>SUM(F2:F24)</f>
        <v>166107.88999999996</v>
      </c>
      <c r="H25" t="s">
        <v>145</v>
      </c>
    </row>
    <row r="26" spans="1:8" ht="8.25" customHeight="1"/>
    <row r="27" spans="1:8">
      <c r="A27" t="s">
        <v>9</v>
      </c>
      <c r="B27" t="s">
        <v>10</v>
      </c>
      <c r="C27" t="s">
        <v>11</v>
      </c>
      <c r="D27">
        <f>19.6+79.3+72+79.8+71.5</f>
        <v>322.2</v>
      </c>
      <c r="E27">
        <f>70.94017094*1.17</f>
        <v>82.999999999799996</v>
      </c>
      <c r="F27">
        <f>1390.43+236.37+5625.56+956.34+5107.69+868.31+6623.4+5934.5</f>
        <v>26742.6</v>
      </c>
    </row>
    <row r="28" spans="1:8">
      <c r="B28" t="s">
        <v>10</v>
      </c>
      <c r="C28" t="s">
        <v>89</v>
      </c>
      <c r="D28">
        <f>4.8+26.9</f>
        <v>31.7</v>
      </c>
      <c r="E28">
        <f>70.94017094*1.17</f>
        <v>82.999999999799996</v>
      </c>
      <c r="F28">
        <f>340.51+57.89+2003.7+340.63</f>
        <v>2742.73</v>
      </c>
    </row>
    <row r="29" spans="1:8">
      <c r="B29" t="s">
        <v>10</v>
      </c>
      <c r="C29" t="s">
        <v>98</v>
      </c>
      <c r="D29">
        <f>18.9</f>
        <v>18.899999999999999</v>
      </c>
      <c r="E29">
        <f>70.94017094*1.17</f>
        <v>82.999999999799996</v>
      </c>
      <c r="F29">
        <f>1340.77+227.93</f>
        <v>1568.7</v>
      </c>
    </row>
    <row r="30" spans="1:8">
      <c r="B30" t="s">
        <v>10</v>
      </c>
      <c r="C30" t="s">
        <v>88</v>
      </c>
      <c r="D30">
        <f>55.8</f>
        <v>55.8</v>
      </c>
      <c r="E30">
        <f>82.051282051*1.17</f>
        <v>95.999999999669996</v>
      </c>
      <c r="F30">
        <f>4578.46+778.34</f>
        <v>5356.8</v>
      </c>
    </row>
    <row r="31" spans="1:8">
      <c r="B31" t="s">
        <v>10</v>
      </c>
      <c r="C31" t="s">
        <v>90</v>
      </c>
      <c r="D31">
        <f>10.9</f>
        <v>10.9</v>
      </c>
      <c r="E31">
        <v>96</v>
      </c>
      <c r="F31">
        <f>894.36+152.04</f>
        <v>1046.4000000000001</v>
      </c>
    </row>
    <row r="32" spans="1:8">
      <c r="B32" t="s">
        <v>10</v>
      </c>
      <c r="C32" t="s">
        <v>125</v>
      </c>
      <c r="D32">
        <f>9</f>
        <v>9</v>
      </c>
      <c r="E32">
        <f>82.051282051*1.17</f>
        <v>95.999999999669996</v>
      </c>
      <c r="F32">
        <f>738.46+125.54</f>
        <v>864</v>
      </c>
    </row>
    <row r="33" spans="2:6">
      <c r="B33" t="s">
        <v>10</v>
      </c>
      <c r="C33" t="s">
        <v>91</v>
      </c>
      <c r="D33">
        <f>69.2</f>
        <v>69.2</v>
      </c>
      <c r="E33">
        <f>67.521367521*1.17</f>
        <v>78.999999999569994</v>
      </c>
      <c r="F33">
        <f>4672.48+794.32</f>
        <v>5466.7999999999993</v>
      </c>
    </row>
    <row r="34" spans="2:6">
      <c r="B34" t="s">
        <v>10</v>
      </c>
      <c r="C34" t="s">
        <v>92</v>
      </c>
      <c r="D34">
        <f>71.2</f>
        <v>71.2</v>
      </c>
      <c r="E34">
        <f>66.6666666667*1.17</f>
        <v>78.000000000038995</v>
      </c>
      <c r="F34">
        <f>4746.67+806.93</f>
        <v>5553.6</v>
      </c>
    </row>
    <row r="35" spans="2:6">
      <c r="B35" t="s">
        <v>10</v>
      </c>
      <c r="C35" t="s">
        <v>93</v>
      </c>
      <c r="D35">
        <f>37.5</f>
        <v>37.5</v>
      </c>
      <c r="E35">
        <f>82.051282051*1.17</f>
        <v>95.999999999669996</v>
      </c>
      <c r="F35">
        <f>3076.92+523.08</f>
        <v>3600</v>
      </c>
    </row>
    <row r="36" spans="2:6">
      <c r="B36" t="s">
        <v>10</v>
      </c>
      <c r="C36" t="s">
        <v>119</v>
      </c>
      <c r="D36">
        <f>82.8+82.3</f>
        <v>165.1</v>
      </c>
      <c r="E36">
        <f>82.051282051*1.17</f>
        <v>95.999999999669996</v>
      </c>
      <c r="F36">
        <f>6793.85+1154.95+6752.82+1147.98</f>
        <v>15849.599999999999</v>
      </c>
    </row>
    <row r="37" spans="2:6">
      <c r="B37" t="s">
        <v>10</v>
      </c>
      <c r="C37" t="s">
        <v>123</v>
      </c>
      <c r="D37">
        <f>70.8</f>
        <v>70.8</v>
      </c>
      <c r="E37">
        <f>82.051282051*1.17</f>
        <v>95.999999999669996</v>
      </c>
      <c r="F37">
        <f>5809.23+987.57</f>
        <v>6796.7999999999993</v>
      </c>
    </row>
    <row r="38" spans="2:6">
      <c r="B38" t="s">
        <v>10</v>
      </c>
      <c r="C38" t="s">
        <v>94</v>
      </c>
      <c r="D38">
        <f>9</f>
        <v>9</v>
      </c>
      <c r="E38">
        <f>70.94017094*1.17</f>
        <v>82.999999999799996</v>
      </c>
      <c r="F38">
        <f>638.46+108.54</f>
        <v>747</v>
      </c>
    </row>
    <row r="39" spans="2:6">
      <c r="B39" t="s">
        <v>10</v>
      </c>
      <c r="C39" t="s">
        <v>124</v>
      </c>
      <c r="D39">
        <f>71.2</f>
        <v>71.2</v>
      </c>
      <c r="E39">
        <f>70.94017094*1.17</f>
        <v>82.999999999799996</v>
      </c>
      <c r="F39">
        <f>5050.94+858.66</f>
        <v>5909.5999999999995</v>
      </c>
    </row>
    <row r="40" spans="2:6">
      <c r="B40" t="s">
        <v>10</v>
      </c>
      <c r="C40" t="s">
        <v>100</v>
      </c>
      <c r="D40">
        <f>18.5+29.2</f>
        <v>47.7</v>
      </c>
      <c r="E40">
        <f>70.94017094*1.17</f>
        <v>82.999999999799996</v>
      </c>
      <c r="F40">
        <f>1312.39+223.11+2175.03+369.75</f>
        <v>4080.28</v>
      </c>
    </row>
    <row r="41" spans="2:6">
      <c r="B41" t="s">
        <v>10</v>
      </c>
      <c r="C41" t="s">
        <v>95</v>
      </c>
      <c r="D41">
        <f>9.7</f>
        <v>9.6999999999999993</v>
      </c>
      <c r="E41">
        <f>67.521367521*1.17</f>
        <v>78.999999999569994</v>
      </c>
      <c r="F41">
        <f>654.96+111.34</f>
        <v>766.30000000000007</v>
      </c>
    </row>
    <row r="42" spans="2:6">
      <c r="B42" t="s">
        <v>10</v>
      </c>
      <c r="C42" t="s">
        <v>153</v>
      </c>
    </row>
    <row r="43" spans="2:6">
      <c r="B43" t="s">
        <v>10</v>
      </c>
      <c r="C43" t="s">
        <v>96</v>
      </c>
      <c r="D43">
        <f>11</f>
        <v>11</v>
      </c>
      <c r="E43">
        <f>66.666666667*1.17</f>
        <v>78.000000000390003</v>
      </c>
      <c r="F43">
        <f>733.33+124.67</f>
        <v>858</v>
      </c>
    </row>
    <row r="44" spans="2:6">
      <c r="B44" t="s">
        <v>10</v>
      </c>
      <c r="C44" t="s">
        <v>99</v>
      </c>
      <c r="D44">
        <f>9</f>
        <v>9</v>
      </c>
      <c r="E44">
        <f>66.666666667*1.17</f>
        <v>78.000000000390003</v>
      </c>
      <c r="F44">
        <f>600+102</f>
        <v>702</v>
      </c>
    </row>
    <row r="45" spans="2:6">
      <c r="B45" t="s">
        <v>10</v>
      </c>
      <c r="C45" t="s">
        <v>120</v>
      </c>
      <c r="D45">
        <f>75.7</f>
        <v>75.7</v>
      </c>
      <c r="E45">
        <f>70.94017094*1.17</f>
        <v>82.999999999799996</v>
      </c>
      <c r="F45">
        <f>5366.93+912.38</f>
        <v>6279.31</v>
      </c>
    </row>
    <row r="46" spans="2:6">
      <c r="B46" t="s">
        <v>10</v>
      </c>
      <c r="C46" t="s">
        <v>97</v>
      </c>
      <c r="D46">
        <f>9.3</f>
        <v>9.3000000000000007</v>
      </c>
      <c r="E46">
        <f>67.521367521*1.17</f>
        <v>78.999999999569994</v>
      </c>
      <c r="F46">
        <f>627.95+106.75</f>
        <v>734.7</v>
      </c>
    </row>
    <row r="47" spans="2:6">
      <c r="B47" t="s">
        <v>117</v>
      </c>
      <c r="C47" t="s">
        <v>118</v>
      </c>
      <c r="D47">
        <f>35.3</f>
        <v>35.299999999999997</v>
      </c>
      <c r="E47">
        <f>69.230769231*1.17</f>
        <v>81.000000000269992</v>
      </c>
      <c r="F47">
        <f>2443.85+415.45</f>
        <v>2859.2999999999997</v>
      </c>
    </row>
    <row r="48" spans="2:6">
      <c r="B48" t="s">
        <v>117</v>
      </c>
      <c r="C48" t="s">
        <v>121</v>
      </c>
      <c r="D48">
        <f>29.6</f>
        <v>29.6</v>
      </c>
      <c r="E48">
        <f>83.760683761*1.17</f>
        <v>98.000000000369994</v>
      </c>
      <c r="F48">
        <f>2479.32+421.48</f>
        <v>2900.8</v>
      </c>
    </row>
    <row r="49" spans="1:8">
      <c r="B49" t="s">
        <v>117</v>
      </c>
      <c r="C49" t="s">
        <v>122</v>
      </c>
      <c r="D49">
        <f>27.8</f>
        <v>27.8</v>
      </c>
      <c r="E49">
        <f>98</f>
        <v>98</v>
      </c>
      <c r="F49">
        <f>2328.55+395.85</f>
        <v>2724.4</v>
      </c>
    </row>
    <row r="51" spans="1:8">
      <c r="D51" s="1">
        <f>SUM(D27:D49)</f>
        <v>1197.5999999999999</v>
      </c>
      <c r="F51" s="1">
        <f>SUM(F27:F49)</f>
        <v>104149.72</v>
      </c>
      <c r="H51" t="s">
        <v>145</v>
      </c>
    </row>
    <row r="52" spans="1:8" ht="6.75" customHeight="1"/>
    <row r="53" spans="1:8">
      <c r="A53" t="s">
        <v>12</v>
      </c>
      <c r="B53" t="s">
        <v>13</v>
      </c>
      <c r="C53" t="s">
        <v>14</v>
      </c>
      <c r="D53">
        <f>167.4</f>
        <v>167.4</v>
      </c>
      <c r="E53">
        <f>37.606837607*1.17</f>
        <v>44.000000000189999</v>
      </c>
      <c r="F53">
        <f>7365.6</f>
        <v>7365.6</v>
      </c>
    </row>
    <row r="54" spans="1:8">
      <c r="C54" t="s">
        <v>32</v>
      </c>
      <c r="D54">
        <f>119.4+79.6+119.4+79.6</f>
        <v>398</v>
      </c>
      <c r="E54">
        <f>57.264957265*1.17</f>
        <v>67.000000000049994</v>
      </c>
      <c r="F54">
        <f>7999.8+4558.29+774.91+6837.44+1162.36+4558.29+774.91</f>
        <v>26666</v>
      </c>
    </row>
    <row r="55" spans="1:8">
      <c r="C55" t="s">
        <v>33</v>
      </c>
      <c r="D55">
        <f>279</f>
        <v>279</v>
      </c>
      <c r="E55">
        <f>27.35042735*1.17</f>
        <v>31.999999999499998</v>
      </c>
      <c r="F55">
        <f>7630.77+1297.23</f>
        <v>8928</v>
      </c>
    </row>
    <row r="56" spans="1:8">
      <c r="C56" t="s">
        <v>56</v>
      </c>
      <c r="D56">
        <f>58.7+352.2+50.8+144</f>
        <v>605.70000000000005</v>
      </c>
      <c r="E56">
        <f>34.188034188*1.17</f>
        <v>39.999999999960004</v>
      </c>
      <c r="F56">
        <f>2006.84+341.16+12041.03+2046.97+2032+5760</f>
        <v>24228</v>
      </c>
    </row>
    <row r="57" spans="1:8">
      <c r="D57" s="1">
        <f>SUM(D53:D56)</f>
        <v>1450.1</v>
      </c>
      <c r="F57" s="1">
        <f>SUM(F53:F56)</f>
        <v>67187.600000000006</v>
      </c>
      <c r="H57" t="s">
        <v>145</v>
      </c>
    </row>
    <row r="59" spans="1:8">
      <c r="A59" t="s">
        <v>15</v>
      </c>
      <c r="B59" t="s">
        <v>16</v>
      </c>
      <c r="C59" t="s">
        <v>17</v>
      </c>
      <c r="D59">
        <f>66.3+69+69.2</f>
        <v>204.5</v>
      </c>
      <c r="E59">
        <f>36.752136752*1.17</f>
        <v>42.999999999839993</v>
      </c>
      <c r="F59">
        <f>2436.67+414.23+2967+2975.6</f>
        <v>8793.5</v>
      </c>
    </row>
    <row r="60" spans="1:8">
      <c r="B60" t="s">
        <v>16</v>
      </c>
      <c r="C60" t="s">
        <v>18</v>
      </c>
      <c r="D60">
        <f>157.2+80.2+151+120.1+158.7</f>
        <v>667.2</v>
      </c>
      <c r="E60">
        <f>33.333333333*1.17</f>
        <v>38.999999999609997</v>
      </c>
      <c r="F60">
        <f>5240+890.8+3127.8+5889+4003.33+680.57+5290+899.3</f>
        <v>26020.799999999999</v>
      </c>
    </row>
    <row r="61" spans="1:8">
      <c r="B61" t="s">
        <v>16</v>
      </c>
      <c r="C61" t="s">
        <v>19</v>
      </c>
      <c r="D61">
        <f>81.2+1118.9+1120.1+638.6+79.8+955.4+1116.5+78.7+78.7+1042.4+1125.5+486.7+80.7+1278+653.5+240.4+641.9</f>
        <v>10816.999999999998</v>
      </c>
      <c r="E61">
        <f>33.33333333*1.17</f>
        <v>38.999999996100001</v>
      </c>
      <c r="F61">
        <f>312124.8+42600+7242+21783.33+3703.17+9375.6+25034.1</f>
        <v>421862.99999999994</v>
      </c>
    </row>
    <row r="62" spans="1:8">
      <c r="B62" t="s">
        <v>16</v>
      </c>
      <c r="C62" t="s">
        <v>105</v>
      </c>
      <c r="D62">
        <f>164.1+160.4</f>
        <v>324.5</v>
      </c>
      <c r="E62">
        <v>39</v>
      </c>
      <c r="F62">
        <f>5470+929.9+5346.67+908.93</f>
        <v>12655.5</v>
      </c>
    </row>
    <row r="63" spans="1:8">
      <c r="B63" t="s">
        <v>20</v>
      </c>
      <c r="C63" t="s">
        <v>21</v>
      </c>
      <c r="D63">
        <f>40.9</f>
        <v>40.9</v>
      </c>
      <c r="E63">
        <f>28.333333333*1.17</f>
        <v>33.149999999609996</v>
      </c>
      <c r="F63">
        <f>1158.84+197</f>
        <v>1355.84</v>
      </c>
    </row>
    <row r="64" spans="1:8">
      <c r="B64" t="s">
        <v>20</v>
      </c>
      <c r="C64" t="s">
        <v>58</v>
      </c>
      <c r="D64">
        <f>79.9</f>
        <v>79.900000000000006</v>
      </c>
      <c r="E64">
        <f>28.333333333*1.17</f>
        <v>33.149999999609996</v>
      </c>
      <c r="F64">
        <f>2263.84+384.85</f>
        <v>2648.69</v>
      </c>
    </row>
    <row r="65" spans="1:8">
      <c r="B65" t="s">
        <v>16</v>
      </c>
      <c r="C65" t="s">
        <v>34</v>
      </c>
      <c r="D65">
        <f>82.1</f>
        <v>82.1</v>
      </c>
      <c r="E65">
        <f>33.333333333*1.17</f>
        <v>38.999999999609997</v>
      </c>
      <c r="F65">
        <f>2736.67+465.23</f>
        <v>3201.9</v>
      </c>
    </row>
    <row r="66" spans="1:8">
      <c r="B66" t="s">
        <v>20</v>
      </c>
      <c r="C66" t="s">
        <v>114</v>
      </c>
      <c r="D66">
        <f>319+240.8</f>
        <v>559.79999999999995</v>
      </c>
      <c r="E66">
        <v>33.15</v>
      </c>
      <c r="F66">
        <f>9038.33+1536.52+6822.67+1159.85</f>
        <v>18557.37</v>
      </c>
    </row>
    <row r="67" spans="1:8">
      <c r="B67" t="s">
        <v>16</v>
      </c>
      <c r="C67" t="s">
        <v>35</v>
      </c>
      <c r="D67">
        <f>395.1+637.7+486.9+76.8+317.1+641</f>
        <v>2554.6000000000004</v>
      </c>
      <c r="E67">
        <f>33.333333333*1.17</f>
        <v>38.999999999609997</v>
      </c>
      <c r="F67">
        <f>13170+2238.9+21256.67+3613.63+16230+2759.1+2560+435.2+10570+1796.9+21249.15</f>
        <v>95879.549999999988</v>
      </c>
    </row>
    <row r="68" spans="1:8">
      <c r="B68" t="s">
        <v>20</v>
      </c>
      <c r="C68" t="s">
        <v>104</v>
      </c>
      <c r="D68">
        <f>161.1</f>
        <v>161.1</v>
      </c>
      <c r="E68">
        <f>28.33333333*1.17</f>
        <v>33.149999996099993</v>
      </c>
      <c r="F68">
        <f>4564.5+775.97</f>
        <v>5340.47</v>
      </c>
    </row>
    <row r="69" spans="1:8">
      <c r="B69" t="s">
        <v>16</v>
      </c>
      <c r="C69" t="s">
        <v>104</v>
      </c>
      <c r="D69">
        <f>80.5</f>
        <v>80.5</v>
      </c>
      <c r="E69">
        <v>39</v>
      </c>
      <c r="F69">
        <f>2683.33+456.17</f>
        <v>3139.5</v>
      </c>
    </row>
    <row r="70" spans="1:8">
      <c r="B70" t="s">
        <v>16</v>
      </c>
      <c r="C70" t="s">
        <v>86</v>
      </c>
      <c r="D70">
        <f>976.2+645.3</f>
        <v>1621.5</v>
      </c>
      <c r="E70">
        <v>39</v>
      </c>
      <c r="F70">
        <f>32540+5531.8+25166.7</f>
        <v>63238.5</v>
      </c>
    </row>
    <row r="71" spans="1:8">
      <c r="B71" t="s">
        <v>16</v>
      </c>
      <c r="C71" t="s">
        <v>57</v>
      </c>
      <c r="D71">
        <f>635.1+80.9</f>
        <v>716</v>
      </c>
      <c r="E71">
        <f>33.33333333*1.17</f>
        <v>38.999999996100001</v>
      </c>
      <c r="F71">
        <f>21170+3598.9+2696.67+458.43</f>
        <v>27924</v>
      </c>
    </row>
    <row r="72" spans="1:8">
      <c r="B72" t="s">
        <v>20</v>
      </c>
      <c r="C72" t="s">
        <v>115</v>
      </c>
      <c r="D72">
        <f>237.8</f>
        <v>237.8</v>
      </c>
      <c r="E72">
        <f>25*1.17</f>
        <v>29.25</v>
      </c>
      <c r="F72">
        <f>5945+1010.65</f>
        <v>6955.65</v>
      </c>
    </row>
    <row r="73" spans="1:8">
      <c r="B73" t="s">
        <v>16</v>
      </c>
      <c r="C73" t="s">
        <v>85</v>
      </c>
      <c r="D73">
        <f>76.4</f>
        <v>76.400000000000006</v>
      </c>
      <c r="E73">
        <v>39</v>
      </c>
      <c r="F73">
        <f>2979.6</f>
        <v>2979.6</v>
      </c>
    </row>
    <row r="74" spans="1:8">
      <c r="D74" s="1">
        <f>SUM(D59:D73)</f>
        <v>18223.8</v>
      </c>
      <c r="F74" s="1">
        <f>SUM(F59:F73)</f>
        <v>700553.86999999988</v>
      </c>
      <c r="H74" t="s">
        <v>145</v>
      </c>
    </row>
    <row r="76" spans="1:8">
      <c r="A76" t="s">
        <v>22</v>
      </c>
      <c r="B76" t="s">
        <v>23</v>
      </c>
      <c r="C76" t="s">
        <v>24</v>
      </c>
      <c r="D76">
        <f>319.5+320+395.1+81.4+161.2+324.6+162.9+319</f>
        <v>2083.7000000000003</v>
      </c>
      <c r="E76">
        <f>13.675213675*1.17</f>
        <v>15.999999999749999</v>
      </c>
      <c r="F76">
        <f>4369.23+742.77+4376.07+743.93+5403.08+918.52+1113.16+189.24+2204.44+374.76+4438.97+754.63+2227.69+378.71+5104</f>
        <v>33339.199999999997</v>
      </c>
    </row>
    <row r="77" spans="1:8">
      <c r="B77" t="s">
        <v>129</v>
      </c>
      <c r="C77" t="s">
        <v>111</v>
      </c>
      <c r="D77">
        <f>317.1</f>
        <v>317.10000000000002</v>
      </c>
      <c r="E77">
        <v>16</v>
      </c>
      <c r="F77">
        <f>5073.6</f>
        <v>5073.6000000000004</v>
      </c>
    </row>
    <row r="78" spans="1:8">
      <c r="B78" t="s">
        <v>53</v>
      </c>
      <c r="C78" t="s">
        <v>111</v>
      </c>
      <c r="D78">
        <f>161.1</f>
        <v>161.1</v>
      </c>
      <c r="E78">
        <f>19.658119658*1.17</f>
        <v>22.999999999859998</v>
      </c>
      <c r="F78">
        <f>3166.92+538.38</f>
        <v>3705.3</v>
      </c>
    </row>
    <row r="79" spans="1:8">
      <c r="B79" t="s">
        <v>53</v>
      </c>
      <c r="C79" t="s">
        <v>51</v>
      </c>
      <c r="D79">
        <f>73.9</f>
        <v>73.900000000000006</v>
      </c>
      <c r="E79">
        <f>29.914529915*1.17</f>
        <v>35.000000000549996</v>
      </c>
      <c r="F79">
        <f>2210.68+375.82</f>
        <v>2586.5</v>
      </c>
    </row>
    <row r="80" spans="1:8">
      <c r="B80" t="s">
        <v>53</v>
      </c>
      <c r="C80" t="s">
        <v>52</v>
      </c>
      <c r="D80">
        <f>33.6</f>
        <v>33.6</v>
      </c>
      <c r="E80">
        <f>42.735042735*1.17</f>
        <v>49.999999999949999</v>
      </c>
      <c r="F80">
        <f>1435.9+244.1</f>
        <v>1680</v>
      </c>
    </row>
    <row r="81" spans="1:8">
      <c r="B81" t="s">
        <v>53</v>
      </c>
      <c r="C81" t="s">
        <v>54</v>
      </c>
      <c r="D81">
        <f>50+50+50</f>
        <v>150</v>
      </c>
      <c r="E81">
        <f>21.367521368*1.17</f>
        <v>25.000000000559996</v>
      </c>
      <c r="F81">
        <f>1068.38+181.62+1068.38+181.62+1068.38+181.62</f>
        <v>3750</v>
      </c>
    </row>
    <row r="82" spans="1:8">
      <c r="B82" t="s">
        <v>53</v>
      </c>
      <c r="C82" t="s">
        <v>69</v>
      </c>
      <c r="D82">
        <f>102.7+106.4+100.8+33.6+55.4</f>
        <v>398.90000000000003</v>
      </c>
      <c r="E82">
        <f>42.735042735*1.17</f>
        <v>49.999999999949999</v>
      </c>
      <c r="F82">
        <f>4388.89+746.11+4547.01+772.99+4307.69+732.31+1435.9+244.1+2367.52+402.48</f>
        <v>19944.999999999996</v>
      </c>
    </row>
    <row r="83" spans="1:8">
      <c r="B83" t="s">
        <v>53</v>
      </c>
      <c r="C83" t="s">
        <v>70</v>
      </c>
      <c r="D83">
        <f>163.3+78.7+164.1</f>
        <v>406.1</v>
      </c>
      <c r="E83">
        <f>22.22222222*1.17</f>
        <v>25.999999997399996</v>
      </c>
      <c r="F83">
        <f>3628.89+616.91+1748.89+297.31+3646.67+619.93</f>
        <v>10558.600000000002</v>
      </c>
    </row>
    <row r="84" spans="1:8">
      <c r="B84" t="s">
        <v>53</v>
      </c>
      <c r="C84" t="s">
        <v>71</v>
      </c>
      <c r="D84">
        <f>112.6+111.8+111+56.6+56.2</f>
        <v>448.2</v>
      </c>
      <c r="E84">
        <f>22.22222222*1.17</f>
        <v>25.999999997399996</v>
      </c>
      <c r="F84">
        <f>2694.7+458.1+2484.44+422.36+2656.41+451.59+1354.53+230.27+1344.96+228.64</f>
        <v>12326</v>
      </c>
    </row>
    <row r="85" spans="1:8">
      <c r="B85" t="s">
        <v>53</v>
      </c>
      <c r="C85" t="s">
        <v>72</v>
      </c>
      <c r="D85">
        <f>78.4</f>
        <v>78.400000000000006</v>
      </c>
      <c r="E85">
        <f>25.641025641*1.17</f>
        <v>29.999999999969997</v>
      </c>
      <c r="F85">
        <f>2010.26+341.74</f>
        <v>2352</v>
      </c>
    </row>
    <row r="86" spans="1:8">
      <c r="B86" t="s">
        <v>79</v>
      </c>
      <c r="C86" t="s">
        <v>80</v>
      </c>
      <c r="D86">
        <f>18.9</f>
        <v>18.899999999999999</v>
      </c>
      <c r="E86">
        <f>470.08547009*1.17</f>
        <v>550.00000000529997</v>
      </c>
      <c r="F86">
        <f>8884.62+1510.38</f>
        <v>10395</v>
      </c>
    </row>
    <row r="87" spans="1:8">
      <c r="D87" s="1">
        <f>SUM(D76:D86)</f>
        <v>4169.8999999999996</v>
      </c>
      <c r="F87" s="1">
        <f>SUM(F76:F86)</f>
        <v>105711.2</v>
      </c>
      <c r="H87" t="s">
        <v>145</v>
      </c>
    </row>
    <row r="89" spans="1:8">
      <c r="A89" t="s">
        <v>26</v>
      </c>
      <c r="B89" t="s">
        <v>27</v>
      </c>
      <c r="C89" t="s">
        <v>28</v>
      </c>
      <c r="D89">
        <f>69.3+66.3+69+69.2</f>
        <v>273.8</v>
      </c>
      <c r="E89">
        <f>8.547008547*1.17</f>
        <v>9.9999999999900009</v>
      </c>
      <c r="F89">
        <f>693+663+690+692</f>
        <v>2738</v>
      </c>
    </row>
    <row r="90" spans="1:8">
      <c r="B90" t="s">
        <v>27</v>
      </c>
      <c r="C90" t="s">
        <v>29</v>
      </c>
      <c r="D90">
        <f>167.4</f>
        <v>167.4</v>
      </c>
      <c r="E90">
        <f>12.820512821*1.17</f>
        <v>15.000000000569999</v>
      </c>
      <c r="F90">
        <f>2146.15+364.85</f>
        <v>2511</v>
      </c>
    </row>
    <row r="91" spans="1:8">
      <c r="B91" t="s">
        <v>27</v>
      </c>
      <c r="C91" t="s">
        <v>112</v>
      </c>
      <c r="D91">
        <f>144</f>
        <v>144</v>
      </c>
      <c r="E91">
        <f>10.256410256*1.17</f>
        <v>11.99999999952</v>
      </c>
      <c r="F91">
        <f>1476.92+251.08</f>
        <v>1728</v>
      </c>
    </row>
    <row r="92" spans="1:8">
      <c r="B92" t="s">
        <v>27</v>
      </c>
      <c r="C92" t="s">
        <v>30</v>
      </c>
      <c r="D92">
        <f>464.4</f>
        <v>464.4</v>
      </c>
      <c r="E92">
        <f>12.820512821*1.17</f>
        <v>15.000000000569999</v>
      </c>
      <c r="F92">
        <f>5953.85+1012.15</f>
        <v>6966</v>
      </c>
    </row>
    <row r="93" spans="1:8">
      <c r="B93" t="s">
        <v>27</v>
      </c>
      <c r="C93" t="s">
        <v>87</v>
      </c>
      <c r="D93">
        <f>238.8+238.8+464.4+503.1+464.4</f>
        <v>1909.5</v>
      </c>
      <c r="E93">
        <f>12.820512821*1.17</f>
        <v>15.000000000569999</v>
      </c>
      <c r="F93">
        <f>3061.54+520.46+3061.54+520.46+6966+7546.5+7820.5</f>
        <v>29497</v>
      </c>
    </row>
    <row r="94" spans="1:8">
      <c r="B94" t="s">
        <v>27</v>
      </c>
      <c r="C94" t="s">
        <v>40</v>
      </c>
      <c r="D94">
        <f>160.7+160.9+161.4+160.4+159.1+80.4+79.3+241+161.8+80+238.9+80.6+159.8</f>
        <v>1924.2999999999997</v>
      </c>
      <c r="E94">
        <f>8.547008547*1.17</f>
        <v>9.9999999999900009</v>
      </c>
      <c r="F94">
        <f>1607+1609+1614+1604+1591+804+793+2410+1618+800+2389+806+1598</f>
        <v>19243</v>
      </c>
    </row>
    <row r="95" spans="1:8">
      <c r="B95" t="s">
        <v>27</v>
      </c>
      <c r="C95" t="s">
        <v>31</v>
      </c>
      <c r="D95">
        <f>159.1+317.5+161+160.2+159.4+159.9+160.2+159.2+161.3</f>
        <v>1597.8</v>
      </c>
      <c r="E95">
        <f>8.547008547*1.17</f>
        <v>9.9999999999900009</v>
      </c>
      <c r="F95">
        <f>1591+3175+1610+1602+1594+1599+1602+1592+1613</f>
        <v>15978</v>
      </c>
    </row>
    <row r="96" spans="1:8">
      <c r="B96" t="s">
        <v>27</v>
      </c>
      <c r="C96" t="s">
        <v>38</v>
      </c>
      <c r="D96">
        <f>318.4+314.2+317.7+3234+320.2+477+477.3+478.3+556.6+564.6+322.5+160.4+647+159.7+321+732.9+320.7</f>
        <v>9722.5000000000018</v>
      </c>
      <c r="E96">
        <f>8.547008547*1.17</f>
        <v>9.9999999999900009</v>
      </c>
      <c r="F96">
        <f>3184+3142+3177+3234+3202+4770+4773+4783+5566+5646+3225+1604+6470+1597+3210+7329+3207</f>
        <v>68119</v>
      </c>
    </row>
    <row r="97" spans="1:8">
      <c r="B97" t="s">
        <v>27</v>
      </c>
      <c r="C97" t="s">
        <v>83</v>
      </c>
      <c r="D97">
        <f>80.1</f>
        <v>80.099999999999994</v>
      </c>
      <c r="E97">
        <v>10</v>
      </c>
      <c r="F97">
        <v>801</v>
      </c>
    </row>
    <row r="98" spans="1:8">
      <c r="B98" t="s">
        <v>27</v>
      </c>
      <c r="C98" t="s">
        <v>143</v>
      </c>
      <c r="D98">
        <f>79.9</f>
        <v>79.900000000000006</v>
      </c>
      <c r="E98">
        <v>10</v>
      </c>
      <c r="F98">
        <f>799</f>
        <v>799</v>
      </c>
    </row>
    <row r="99" spans="1:8">
      <c r="B99" t="s">
        <v>27</v>
      </c>
      <c r="C99" t="s">
        <v>81</v>
      </c>
      <c r="D99">
        <f>158.6</f>
        <v>158.6</v>
      </c>
      <c r="E99">
        <v>10</v>
      </c>
      <c r="F99">
        <v>1586</v>
      </c>
    </row>
    <row r="100" spans="1:8">
      <c r="B100" t="s">
        <v>27</v>
      </c>
      <c r="C100" t="s">
        <v>147</v>
      </c>
      <c r="D100">
        <f>400</f>
        <v>400</v>
      </c>
      <c r="E100">
        <v>10</v>
      </c>
      <c r="F100">
        <v>4000</v>
      </c>
    </row>
    <row r="101" spans="1:8">
      <c r="B101" t="s">
        <v>27</v>
      </c>
      <c r="C101" t="s">
        <v>139</v>
      </c>
      <c r="D101">
        <f>80</f>
        <v>80</v>
      </c>
      <c r="E101">
        <v>10</v>
      </c>
      <c r="F101">
        <f>800</f>
        <v>800</v>
      </c>
    </row>
    <row r="102" spans="1:8">
      <c r="B102" t="s">
        <v>27</v>
      </c>
      <c r="C102" t="s">
        <v>39</v>
      </c>
      <c r="D102">
        <f>325.6+326.8+317.1+318+322.9+327.5+318.7+322.8</f>
        <v>2579.4</v>
      </c>
      <c r="E102">
        <f>8.547008547*1.17</f>
        <v>9.9999999999900009</v>
      </c>
      <c r="F102">
        <f>3256+3268+3171+3180+3229+3275+3187+3228</f>
        <v>25794</v>
      </c>
    </row>
    <row r="103" spans="1:8">
      <c r="B103" t="s">
        <v>27</v>
      </c>
      <c r="C103" t="s">
        <v>140</v>
      </c>
      <c r="D103">
        <f>153.1</f>
        <v>153.1</v>
      </c>
      <c r="E103">
        <v>10</v>
      </c>
      <c r="F103">
        <f>1531</f>
        <v>1531</v>
      </c>
    </row>
    <row r="104" spans="1:8">
      <c r="B104" t="s">
        <v>27</v>
      </c>
      <c r="C104" t="s">
        <v>141</v>
      </c>
      <c r="D104">
        <f>157.5</f>
        <v>157.5</v>
      </c>
      <c r="E104">
        <v>10</v>
      </c>
      <c r="F104">
        <f>1575</f>
        <v>1575</v>
      </c>
    </row>
    <row r="105" spans="1:8">
      <c r="B105" t="s">
        <v>27</v>
      </c>
      <c r="C105" t="s">
        <v>84</v>
      </c>
      <c r="D105">
        <f>325.8</f>
        <v>325.8</v>
      </c>
      <c r="E105">
        <v>10</v>
      </c>
      <c r="F105">
        <v>3258</v>
      </c>
    </row>
    <row r="106" spans="1:8">
      <c r="B106" t="s">
        <v>27</v>
      </c>
      <c r="C106" t="s">
        <v>142</v>
      </c>
      <c r="D106">
        <f>80.8</f>
        <v>80.8</v>
      </c>
      <c r="E106">
        <v>10</v>
      </c>
      <c r="F106">
        <f>808</f>
        <v>808</v>
      </c>
    </row>
    <row r="107" spans="1:8">
      <c r="B107" t="s">
        <v>27</v>
      </c>
      <c r="C107" t="s">
        <v>144</v>
      </c>
      <c r="D107">
        <f>85.7</f>
        <v>85.7</v>
      </c>
      <c r="E107">
        <f>25.641025641*1.17</f>
        <v>29.999999999969997</v>
      </c>
      <c r="F107">
        <f>2197.44+373.56</f>
        <v>2571</v>
      </c>
    </row>
    <row r="108" spans="1:8">
      <c r="B108" t="s">
        <v>27</v>
      </c>
      <c r="C108" t="s">
        <v>113</v>
      </c>
      <c r="D108">
        <f>79.6</f>
        <v>79.599999999999994</v>
      </c>
      <c r="E108">
        <v>10</v>
      </c>
      <c r="F108">
        <f>796</f>
        <v>796</v>
      </c>
    </row>
    <row r="109" spans="1:8">
      <c r="B109" t="s">
        <v>27</v>
      </c>
      <c r="C109" t="s">
        <v>61</v>
      </c>
      <c r="D109">
        <f>79.4+80</f>
        <v>159.4</v>
      </c>
      <c r="E109">
        <f>8.547008547*1.17</f>
        <v>9.9999999999900009</v>
      </c>
      <c r="F109">
        <f>794+683.76+116.24</f>
        <v>1594</v>
      </c>
    </row>
    <row r="110" spans="1:8">
      <c r="D110" s="1">
        <f>SUM(D89:D109)</f>
        <v>20623.599999999999</v>
      </c>
      <c r="F110" s="1">
        <f>SUM(F89:F109)</f>
        <v>192693</v>
      </c>
      <c r="H110" t="s">
        <v>148</v>
      </c>
    </row>
    <row r="112" spans="1:8">
      <c r="A112" t="s">
        <v>36</v>
      </c>
      <c r="B112" t="s">
        <v>13</v>
      </c>
      <c r="C112" t="s">
        <v>37</v>
      </c>
      <c r="D112">
        <f>106.5+102.6+100.8+83.1</f>
        <v>393</v>
      </c>
      <c r="E112">
        <f>76.068376069*1.17</f>
        <v>89.000000000729983</v>
      </c>
      <c r="F112">
        <f>9478.5+9131.4+8971.2+6321.28+1074.62</f>
        <v>34977.000000000007</v>
      </c>
    </row>
    <row r="113" spans="1:8">
      <c r="C113" t="s">
        <v>55</v>
      </c>
      <c r="D113">
        <f>111.8+112.6+111+111.6</f>
        <v>447</v>
      </c>
      <c r="E113">
        <f>30.341880342*1.17</f>
        <v>35.500000000139998</v>
      </c>
      <c r="F113">
        <f>3968.9+3997.3+3940.5+3386.15+575.65</f>
        <v>15868.5</v>
      </c>
    </row>
    <row r="114" spans="1:8">
      <c r="C114" t="s">
        <v>60</v>
      </c>
      <c r="D114">
        <f>76.5</f>
        <v>76.5</v>
      </c>
      <c r="E114">
        <f>22.222222222*1.17</f>
        <v>25.999999999739998</v>
      </c>
      <c r="F114">
        <v>1989</v>
      </c>
    </row>
    <row r="115" spans="1:8">
      <c r="C115" t="s">
        <v>78</v>
      </c>
      <c r="D115">
        <f>50+50</f>
        <v>100</v>
      </c>
      <c r="E115">
        <f>21.367521368*1.17</f>
        <v>25.000000000559996</v>
      </c>
      <c r="F115">
        <f>1250+1250</f>
        <v>2500</v>
      </c>
    </row>
    <row r="116" spans="1:8">
      <c r="D116" s="1">
        <f>SUM(D112:D115)</f>
        <v>1016.5</v>
      </c>
      <c r="F116" s="1">
        <f>SUM(F112:F115)</f>
        <v>55334.500000000007</v>
      </c>
      <c r="H116" t="s">
        <v>145</v>
      </c>
    </row>
    <row r="117" spans="1:8">
      <c r="D117" s="1"/>
    </row>
    <row r="118" spans="1:8">
      <c r="A118" t="s">
        <v>41</v>
      </c>
      <c r="B118" t="s">
        <v>42</v>
      </c>
      <c r="C118" t="s">
        <v>43</v>
      </c>
      <c r="D118">
        <f>17.97</f>
        <v>17.97</v>
      </c>
      <c r="E118">
        <f>92.307692308*1.17</f>
        <v>108.00000000035999</v>
      </c>
      <c r="F118">
        <f>1658.77+281.99</f>
        <v>1940.76</v>
      </c>
    </row>
    <row r="119" spans="1:8">
      <c r="B119" t="s">
        <v>42</v>
      </c>
      <c r="C119" t="s">
        <v>11</v>
      </c>
      <c r="D119">
        <f>35.13+82.16+77.81+84.73</f>
        <v>279.83</v>
      </c>
      <c r="E119">
        <f>78.632478632*1.17</f>
        <v>91.999999999439993</v>
      </c>
      <c r="F119">
        <f>2762.36+469.6+6460.44+1098.28+7158.52+6662.53+1132.63</f>
        <v>25744.36</v>
      </c>
    </row>
    <row r="120" spans="1:8">
      <c r="B120" t="s">
        <v>42</v>
      </c>
      <c r="C120" t="s">
        <v>44</v>
      </c>
      <c r="D120">
        <f>42.31+17.11+8.37+0.87</f>
        <v>68.660000000000011</v>
      </c>
      <c r="E120">
        <f>78.632478632*1.17</f>
        <v>91.999999999439993</v>
      </c>
      <c r="F120">
        <f>3326.94+565.58+1574.12+850.08</f>
        <v>6316.7199999999993</v>
      </c>
    </row>
    <row r="121" spans="1:8">
      <c r="B121" t="s">
        <v>42</v>
      </c>
      <c r="C121" t="s">
        <v>45</v>
      </c>
      <c r="D121">
        <f>82.38</f>
        <v>82.38</v>
      </c>
      <c r="E121">
        <f>76.068376068*1.17</f>
        <v>88.999999999560004</v>
      </c>
      <c r="F121">
        <f>6266.61+1065.31</f>
        <v>7331.92</v>
      </c>
    </row>
    <row r="122" spans="1:8">
      <c r="B122" t="s">
        <v>42</v>
      </c>
      <c r="C122" t="s">
        <v>46</v>
      </c>
      <c r="D122">
        <f>108.89</f>
        <v>108.89</v>
      </c>
      <c r="E122">
        <f>92.307692308*1.17</f>
        <v>108.00000000035999</v>
      </c>
      <c r="F122">
        <f>10051.38+1708.74</f>
        <v>11760.119999999999</v>
      </c>
    </row>
    <row r="123" spans="1:8">
      <c r="B123" t="s">
        <v>42</v>
      </c>
      <c r="C123" t="s">
        <v>116</v>
      </c>
      <c r="D123">
        <f>15.08+80.79</f>
        <v>95.87</v>
      </c>
      <c r="E123">
        <f>92.307692308*1.17</f>
        <v>108.00000000035999</v>
      </c>
      <c r="F123">
        <f>10353.96</f>
        <v>10353.959999999999</v>
      </c>
    </row>
    <row r="124" spans="1:8">
      <c r="B124" t="s">
        <v>42</v>
      </c>
      <c r="C124" t="s">
        <v>47</v>
      </c>
      <c r="D124">
        <f>28.67+73.13</f>
        <v>101.8</v>
      </c>
      <c r="E124">
        <f>92.307692308*1.17</f>
        <v>108.00000000035999</v>
      </c>
      <c r="F124">
        <f>2646.46+449.9+7898.04</f>
        <v>10994.4</v>
      </c>
    </row>
    <row r="125" spans="1:8">
      <c r="B125" t="s">
        <v>42</v>
      </c>
      <c r="C125" t="s">
        <v>88</v>
      </c>
      <c r="D125">
        <f>83.9</f>
        <v>83.9</v>
      </c>
      <c r="E125">
        <f>78.632478632*1.17</f>
        <v>91.999999999439993</v>
      </c>
      <c r="F125">
        <f>6597.26+1121.54</f>
        <v>7718.8</v>
      </c>
    </row>
    <row r="126" spans="1:8">
      <c r="D126" s="1">
        <f>SUM(D118:D125)</f>
        <v>839.3</v>
      </c>
      <c r="F126" s="1">
        <f>SUM(F118:F125)</f>
        <v>82161.039999999994</v>
      </c>
      <c r="H126" t="s">
        <v>145</v>
      </c>
    </row>
    <row r="128" spans="1:8">
      <c r="A128" t="s">
        <v>62</v>
      </c>
      <c r="B128" t="s">
        <v>63</v>
      </c>
      <c r="C128" t="s">
        <v>64</v>
      </c>
      <c r="D128">
        <f>58.7</f>
        <v>58.7</v>
      </c>
      <c r="E128">
        <f>10.256410256*1.17</f>
        <v>11.99999999952</v>
      </c>
      <c r="F128">
        <f>602.05+102.35</f>
        <v>704.4</v>
      </c>
    </row>
    <row r="129" spans="1:8">
      <c r="B129" t="s">
        <v>63</v>
      </c>
      <c r="C129" t="s">
        <v>128</v>
      </c>
      <c r="D129">
        <f>50.8</f>
        <v>50.8</v>
      </c>
      <c r="E129">
        <f>10.256410256*1.17</f>
        <v>11.99999999952</v>
      </c>
      <c r="F129">
        <f>521.03+88.57</f>
        <v>609.59999999999991</v>
      </c>
    </row>
    <row r="130" spans="1:8">
      <c r="B130" t="s">
        <v>63</v>
      </c>
      <c r="C130" t="s">
        <v>65</v>
      </c>
      <c r="D130">
        <f>39.8</f>
        <v>39.799999999999997</v>
      </c>
      <c r="E130">
        <f>11.538461538*1.17</f>
        <v>13.49999999946</v>
      </c>
      <c r="F130">
        <f>459.23+78.07</f>
        <v>537.29999999999995</v>
      </c>
    </row>
    <row r="131" spans="1:8">
      <c r="B131" t="s">
        <v>63</v>
      </c>
      <c r="C131" t="s">
        <v>66</v>
      </c>
      <c r="D131">
        <f>79.6</f>
        <v>79.599999999999994</v>
      </c>
      <c r="E131">
        <f>11.538461538*1.17</f>
        <v>13.49999999946</v>
      </c>
      <c r="F131">
        <f>918.46+156.14</f>
        <v>1074.5999999999999</v>
      </c>
    </row>
    <row r="132" spans="1:8">
      <c r="B132" t="s">
        <v>63</v>
      </c>
      <c r="C132" t="s">
        <v>67</v>
      </c>
      <c r="D132">
        <f>78.5</f>
        <v>78.5</v>
      </c>
      <c r="E132">
        <f>7.6923076923*1.17</f>
        <v>8.9999999999909992</v>
      </c>
      <c r="F132">
        <f>603.85+102.65</f>
        <v>706.5</v>
      </c>
    </row>
    <row r="133" spans="1:8">
      <c r="B133" t="s">
        <v>63</v>
      </c>
      <c r="C133" t="s">
        <v>68</v>
      </c>
      <c r="D133">
        <f>157.2+231.2+158.7+120.1</f>
        <v>667.19999999999993</v>
      </c>
      <c r="E133">
        <f>12.820512821*1.17</f>
        <v>15.000000000569999</v>
      </c>
      <c r="F133">
        <f>1419+241.23+3468+2034.62+345.88+1539.74+261.76</f>
        <v>9310.23</v>
      </c>
    </row>
    <row r="134" spans="1:8">
      <c r="B134" t="s">
        <v>63</v>
      </c>
      <c r="C134" t="s">
        <v>82</v>
      </c>
      <c r="D134">
        <f>78.7+79.8</f>
        <v>158.5</v>
      </c>
      <c r="E134">
        <f>7.6923076923*1.17</f>
        <v>8.9999999999909992</v>
      </c>
      <c r="F134">
        <f>1426.5</f>
        <v>1426.5</v>
      </c>
    </row>
    <row r="135" spans="1:8">
      <c r="B135" t="s">
        <v>63</v>
      </c>
      <c r="C135" t="s">
        <v>127</v>
      </c>
      <c r="D135">
        <f>80.7</f>
        <v>80.7</v>
      </c>
      <c r="E135">
        <f>13.675213675*1.17</f>
        <v>15.999999999749999</v>
      </c>
      <c r="F135">
        <f>1103.59+187.61</f>
        <v>1291.1999999999998</v>
      </c>
    </row>
    <row r="136" spans="1:8">
      <c r="D136" s="1">
        <f>SUM(D128:D135)</f>
        <v>1213.8</v>
      </c>
      <c r="F136" s="1">
        <f>SUM(F128:F135)</f>
        <v>15660.329999999998</v>
      </c>
      <c r="H136" t="s">
        <v>145</v>
      </c>
    </row>
    <row r="138" spans="1:8" ht="12.75" customHeight="1">
      <c r="A138" t="s">
        <v>25</v>
      </c>
      <c r="B138" t="s">
        <v>13</v>
      </c>
      <c r="C138">
        <v>3.7</v>
      </c>
      <c r="D138">
        <f>464.4+193.5+193.5+503.1+387+928.8+38.7+38.7+464.4</f>
        <v>3212.1</v>
      </c>
      <c r="E138">
        <f>57.264957265*1.17</f>
        <v>67.000000000049994</v>
      </c>
      <c r="F138">
        <f>31114.8+12964.5+12964.5+33707.7+25929+62229.6+2592.9+2592.9+31114.8</f>
        <v>215210.69999999998</v>
      </c>
    </row>
    <row r="139" spans="1:8" ht="12.75" customHeight="1">
      <c r="B139" t="s">
        <v>59</v>
      </c>
      <c r="C139">
        <v>3.8</v>
      </c>
      <c r="D139">
        <f>238.8+173.5+238.8+238.8+39.8+74.5</f>
        <v>1004.2</v>
      </c>
      <c r="E139">
        <f>57.264957265*1.17</f>
        <v>67.000000000049994</v>
      </c>
      <c r="F139">
        <f>15999.6+11624.5+15999.6+15999.6+2666.6+4991.5</f>
        <v>67281.399999999994</v>
      </c>
    </row>
    <row r="140" spans="1:8" ht="12.75" customHeight="1">
      <c r="D140" s="1">
        <f>SUM(D138:D139)</f>
        <v>4216.3</v>
      </c>
      <c r="F140" s="1">
        <f>SUM(F138:F139)</f>
        <v>282492.09999999998</v>
      </c>
      <c r="H140" t="s">
        <v>145</v>
      </c>
    </row>
    <row r="141" spans="1:8" ht="12.75" customHeight="1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17"/>
  <sheetViews>
    <sheetView topLeftCell="A13" workbookViewId="0">
      <selection activeCell="A24" sqref="A24:XFD24"/>
    </sheetView>
  </sheetViews>
  <sheetFormatPr defaultRowHeight="14.4"/>
  <cols>
    <col min="1" max="1" width="11" bestFit="1" customWidth="1"/>
    <col min="2" max="2" width="19.21875" bestFit="1" customWidth="1"/>
    <col min="3" max="3" width="23.88671875" style="4" customWidth="1"/>
    <col min="4" max="4" width="6.44140625" bestFit="1" customWidth="1"/>
    <col min="5" max="5" width="14.44140625" style="1" bestFit="1" customWidth="1"/>
    <col min="6" max="6" width="11.6640625" style="4" bestFit="1" customWidth="1"/>
    <col min="7" max="7" width="6.44140625" bestFit="1" customWidth="1"/>
    <col min="8" max="8" width="5.77734375" style="1" bestFit="1" customWidth="1"/>
    <col min="9" max="9" width="9.44140625" style="4" bestFit="1" customWidth="1"/>
    <col min="10" max="10" width="7.44140625" bestFit="1" customWidth="1"/>
    <col min="11" max="11" width="13.21875" style="1" bestFit="1" customWidth="1"/>
    <col min="12" max="12" width="8.44140625" style="4" bestFit="1" customWidth="1"/>
    <col min="13" max="13" width="6.44140625" bestFit="1" customWidth="1"/>
    <col min="14" max="14" width="14.44140625" style="1" bestFit="1" customWidth="1"/>
    <col min="15" max="15" width="12.77734375" style="4" bestFit="1" customWidth="1"/>
    <col min="16" max="16" width="7.44140625" bestFit="1" customWidth="1"/>
    <col min="17" max="17" width="12" style="31" bestFit="1" customWidth="1"/>
    <col min="18" max="18" width="10.44140625" style="25" bestFit="1" customWidth="1"/>
    <col min="19" max="19" width="7.44140625" bestFit="1" customWidth="1"/>
    <col min="20" max="20" width="14.44140625" style="1" bestFit="1" customWidth="1"/>
    <col min="21" max="21" width="12.77734375" style="4" bestFit="1" customWidth="1"/>
    <col min="22" max="22" width="8.44140625" style="23" bestFit="1" customWidth="1"/>
    <col min="23" max="23" width="8.44140625" style="1" bestFit="1" customWidth="1"/>
    <col min="24" max="24" width="10.44140625" style="25" bestFit="1" customWidth="1"/>
    <col min="25" max="25" width="7.44140625" bestFit="1" customWidth="1"/>
    <col min="26" max="26" width="14.44140625" style="1" bestFit="1" customWidth="1"/>
    <col min="27" max="27" width="12.77734375" style="4" bestFit="1" customWidth="1"/>
    <col min="28" max="28" width="7.44140625" bestFit="1" customWidth="1"/>
    <col min="29" max="29" width="6.21875" style="1" bestFit="1" customWidth="1"/>
    <col min="30" max="30" width="9.44140625" style="4" bestFit="1" customWidth="1"/>
    <col min="31" max="31" width="7.44140625" bestFit="1" customWidth="1"/>
    <col min="32" max="32" width="14.44140625" style="1" bestFit="1" customWidth="1"/>
    <col min="33" max="33" width="12.77734375" style="4" bestFit="1" customWidth="1"/>
    <col min="34" max="34" width="6.44140625" bestFit="1" customWidth="1"/>
    <col min="35" max="35" width="5.77734375" style="1" bestFit="1" customWidth="1"/>
    <col min="36" max="36" width="9.44140625" style="4" bestFit="1" customWidth="1"/>
    <col min="37" max="37" width="7.44140625" bestFit="1" customWidth="1"/>
    <col min="38" max="38" width="14.44140625" style="1" bestFit="1" customWidth="1"/>
    <col min="39" max="39" width="12.77734375" style="4" bestFit="1" customWidth="1"/>
  </cols>
  <sheetData>
    <row r="1" spans="1:39">
      <c r="D1" s="121" t="s">
        <v>149</v>
      </c>
      <c r="E1" s="121"/>
      <c r="F1" s="121"/>
      <c r="G1" s="121" t="s">
        <v>162</v>
      </c>
      <c r="H1" s="121"/>
      <c r="I1" s="121"/>
      <c r="J1" s="121" t="s">
        <v>203</v>
      </c>
      <c r="K1" s="121"/>
      <c r="L1" s="122"/>
      <c r="M1" s="123" t="s">
        <v>204</v>
      </c>
      <c r="N1" s="121"/>
      <c r="O1" s="122"/>
      <c r="P1" s="123" t="s">
        <v>205</v>
      </c>
      <c r="Q1" s="121"/>
      <c r="R1" s="121"/>
      <c r="S1" s="121" t="s">
        <v>209</v>
      </c>
      <c r="T1" s="121"/>
      <c r="U1" s="121"/>
      <c r="V1" s="121" t="s">
        <v>210</v>
      </c>
      <c r="W1" s="121"/>
      <c r="X1" s="121"/>
      <c r="Y1" s="121" t="s">
        <v>211</v>
      </c>
      <c r="Z1" s="121"/>
      <c r="AA1" s="121"/>
      <c r="AB1" s="121" t="s">
        <v>232</v>
      </c>
      <c r="AC1" s="121"/>
      <c r="AD1" s="121"/>
      <c r="AE1" s="121" t="s">
        <v>246</v>
      </c>
      <c r="AF1" s="121"/>
      <c r="AG1" s="121"/>
      <c r="AH1" s="121" t="s">
        <v>254</v>
      </c>
      <c r="AI1" s="121"/>
      <c r="AJ1" s="121"/>
      <c r="AK1" s="121" t="s">
        <v>262</v>
      </c>
      <c r="AL1" s="121"/>
      <c r="AM1" s="121"/>
    </row>
    <row r="2" spans="1:39">
      <c r="D2" s="2" t="s">
        <v>150</v>
      </c>
      <c r="E2" s="1" t="s">
        <v>6</v>
      </c>
      <c r="F2" s="4" t="s">
        <v>157</v>
      </c>
      <c r="G2" t="s">
        <v>163</v>
      </c>
      <c r="H2" s="1" t="s">
        <v>6</v>
      </c>
      <c r="I2" s="4" t="s">
        <v>164</v>
      </c>
      <c r="J2" s="8" t="s">
        <v>206</v>
      </c>
      <c r="K2" s="14" t="s">
        <v>208</v>
      </c>
      <c r="L2" s="4" t="s">
        <v>207</v>
      </c>
      <c r="M2" s="8" t="s">
        <v>206</v>
      </c>
      <c r="N2" s="14" t="s">
        <v>208</v>
      </c>
      <c r="O2" s="4" t="s">
        <v>207</v>
      </c>
      <c r="P2" s="8" t="s">
        <v>206</v>
      </c>
      <c r="Q2" s="28" t="s">
        <v>208</v>
      </c>
      <c r="R2" s="27" t="s">
        <v>207</v>
      </c>
      <c r="S2" s="8" t="s">
        <v>206</v>
      </c>
      <c r="T2" s="14" t="s">
        <v>208</v>
      </c>
      <c r="U2" s="4" t="s">
        <v>207</v>
      </c>
      <c r="V2" s="20" t="s">
        <v>206</v>
      </c>
      <c r="W2" s="14" t="s">
        <v>208</v>
      </c>
      <c r="X2" s="25" t="s">
        <v>207</v>
      </c>
      <c r="Y2" s="8" t="s">
        <v>206</v>
      </c>
      <c r="Z2" s="14" t="s">
        <v>208</v>
      </c>
      <c r="AA2" s="4" t="s">
        <v>207</v>
      </c>
      <c r="AB2" t="s">
        <v>233</v>
      </c>
      <c r="AC2" s="1" t="s">
        <v>234</v>
      </c>
      <c r="AD2" s="4" t="s">
        <v>235</v>
      </c>
      <c r="AE2" s="8" t="s">
        <v>247</v>
      </c>
      <c r="AF2" s="14" t="s">
        <v>249</v>
      </c>
      <c r="AG2" s="4" t="s">
        <v>248</v>
      </c>
      <c r="AH2" s="8" t="s">
        <v>255</v>
      </c>
      <c r="AI2" s="14" t="s">
        <v>256</v>
      </c>
      <c r="AJ2" s="12" t="s">
        <v>257</v>
      </c>
      <c r="AK2" s="8" t="s">
        <v>263</v>
      </c>
      <c r="AL2" s="14" t="s">
        <v>264</v>
      </c>
      <c r="AM2" s="12" t="s">
        <v>265</v>
      </c>
    </row>
    <row r="3" spans="1:39" s="10" customFormat="1">
      <c r="A3" s="10" t="s">
        <v>0</v>
      </c>
      <c r="B3" s="10" t="s">
        <v>1</v>
      </c>
      <c r="C3" s="11" t="s">
        <v>126</v>
      </c>
      <c r="E3" s="15"/>
      <c r="F3" s="11"/>
      <c r="H3" s="15"/>
      <c r="I3" s="11"/>
      <c r="K3" s="15"/>
      <c r="L3" s="11"/>
      <c r="N3" s="15"/>
      <c r="O3" s="11"/>
      <c r="P3" s="10">
        <v>162</v>
      </c>
      <c r="Q3" s="29">
        <f>41.025641026*1.17</f>
        <v>48.000000000420002</v>
      </c>
      <c r="R3" s="26">
        <f>P3*Q3</f>
        <v>7776.0000000680402</v>
      </c>
      <c r="T3" s="15"/>
      <c r="U3" s="11"/>
      <c r="V3" s="21"/>
      <c r="W3" s="15"/>
      <c r="X3" s="26"/>
      <c r="Z3" s="15"/>
      <c r="AA3" s="11"/>
      <c r="AC3" s="15"/>
      <c r="AD3" s="11"/>
      <c r="AF3" s="15"/>
      <c r="AG3" s="11"/>
      <c r="AI3" s="15"/>
      <c r="AJ3" s="11"/>
      <c r="AL3" s="15"/>
      <c r="AM3" s="11"/>
    </row>
    <row r="4" spans="1:39" s="13" customFormat="1">
      <c r="B4" t="s">
        <v>194</v>
      </c>
      <c r="C4" s="4" t="s">
        <v>195</v>
      </c>
      <c r="E4" s="16"/>
      <c r="F4" s="4"/>
      <c r="H4" s="16"/>
      <c r="I4" s="4"/>
      <c r="J4" s="13">
        <v>36.200000000000003</v>
      </c>
      <c r="K4" s="16">
        <f>54.700854701*1.17</f>
        <v>64.00000000016999</v>
      </c>
      <c r="L4" s="4">
        <f>J4*K4</f>
        <v>2316.8000000061538</v>
      </c>
      <c r="N4" s="16"/>
      <c r="O4" s="4"/>
      <c r="P4" s="13">
        <v>39.61</v>
      </c>
      <c r="Q4" s="30">
        <f>54.700854701*1.17</f>
        <v>64.00000000016999</v>
      </c>
      <c r="R4" s="25">
        <f>P4*Q4</f>
        <v>2535.0400000067334</v>
      </c>
      <c r="T4" s="16"/>
      <c r="U4" s="4"/>
      <c r="V4" s="22"/>
      <c r="W4" s="16"/>
      <c r="X4" s="25"/>
      <c r="Y4" s="13">
        <v>41.55</v>
      </c>
      <c r="Z4" s="16">
        <f>54.700854701*1.17</f>
        <v>64.00000000016999</v>
      </c>
      <c r="AA4" s="4">
        <f>Y4*Z4</f>
        <v>2659.200000007063</v>
      </c>
      <c r="AC4" s="16"/>
      <c r="AD4" s="4"/>
      <c r="AF4" s="16"/>
      <c r="AG4" s="4"/>
      <c r="AI4" s="16"/>
      <c r="AJ4" s="4"/>
      <c r="AL4" s="16"/>
      <c r="AM4" s="4"/>
    </row>
    <row r="5" spans="1:39">
      <c r="B5" t="s">
        <v>135</v>
      </c>
      <c r="C5" s="4" t="s">
        <v>156</v>
      </c>
      <c r="D5">
        <v>35.92</v>
      </c>
      <c r="E5" s="1">
        <f>54.700854701*1.17</f>
        <v>64.00000000016999</v>
      </c>
      <c r="F5" s="4">
        <f>1964.85+334.03</f>
        <v>2298.88</v>
      </c>
    </row>
    <row r="6" spans="1:39">
      <c r="B6" t="s">
        <v>154</v>
      </c>
      <c r="C6" s="4" t="s">
        <v>155</v>
      </c>
      <c r="D6">
        <v>80.400000000000006</v>
      </c>
      <c r="E6" s="1">
        <f>52.991452991*1.17</f>
        <v>61.999999999469999</v>
      </c>
      <c r="F6" s="4">
        <f>4260.51+724.29</f>
        <v>4984.8</v>
      </c>
      <c r="AB6">
        <v>35.9</v>
      </c>
      <c r="AC6" s="40">
        <v>55</v>
      </c>
      <c r="AD6" s="4">
        <f>AB6*AC6</f>
        <v>1974.5</v>
      </c>
      <c r="AK6">
        <v>81.2</v>
      </c>
      <c r="AL6" s="1">
        <v>55</v>
      </c>
      <c r="AM6" s="4">
        <f>AK6*AL6</f>
        <v>4466</v>
      </c>
    </row>
    <row r="7" spans="1:39">
      <c r="B7" t="s">
        <v>154</v>
      </c>
      <c r="C7" s="4" t="s">
        <v>245</v>
      </c>
      <c r="AB7">
        <v>80.8</v>
      </c>
      <c r="AC7" s="1">
        <f>47.008547009*1.17</f>
        <v>55.000000000529994</v>
      </c>
      <c r="AD7" s="4">
        <f>AB7*AC7</f>
        <v>4444.0000000428236</v>
      </c>
      <c r="AH7">
        <v>81.599999999999994</v>
      </c>
      <c r="AI7" s="1">
        <v>55</v>
      </c>
      <c r="AJ7" s="4">
        <f>AH7*AI7</f>
        <v>4488</v>
      </c>
      <c r="AK7">
        <v>81.599999999999994</v>
      </c>
      <c r="AL7" s="1">
        <f>47.008547009*1.17</f>
        <v>55.000000000529994</v>
      </c>
      <c r="AM7" s="4">
        <f>AK7*AL7</f>
        <v>4488.0000000432474</v>
      </c>
    </row>
    <row r="8" spans="1:39">
      <c r="B8" t="s">
        <v>154</v>
      </c>
      <c r="C8" s="4" t="s">
        <v>251</v>
      </c>
      <c r="AE8">
        <v>67.2</v>
      </c>
      <c r="AF8" s="1">
        <f>47.863247863*1.17</f>
        <v>55.999999999709992</v>
      </c>
      <c r="AG8" s="4">
        <f>AE8*AF8</f>
        <v>3763.1999999805116</v>
      </c>
      <c r="AH8">
        <v>82.5</v>
      </c>
      <c r="AI8" s="1">
        <f>47.863247863*1.17</f>
        <v>55.999999999709992</v>
      </c>
      <c r="AJ8" s="4">
        <f>AH8*AI8</f>
        <v>4619.9999999760739</v>
      </c>
    </row>
    <row r="9" spans="1:39">
      <c r="B9" t="s">
        <v>154</v>
      </c>
      <c r="C9" s="4" t="s">
        <v>165</v>
      </c>
      <c r="D9">
        <v>385.2</v>
      </c>
      <c r="E9" s="1">
        <f>70.641070018*1.17</f>
        <v>82.650051921059983</v>
      </c>
      <c r="F9" s="4">
        <f>27210.94+4625.86</f>
        <v>31836.799999999999</v>
      </c>
      <c r="P9">
        <v>467.8</v>
      </c>
      <c r="Q9" s="31">
        <f>12.820512821*1.17</f>
        <v>15.000000000569999</v>
      </c>
      <c r="R9" s="25">
        <f>P9*Q9</f>
        <v>7017.0000002666457</v>
      </c>
    </row>
    <row r="10" spans="1:39">
      <c r="B10" t="s">
        <v>154</v>
      </c>
      <c r="C10" s="4" t="s">
        <v>267</v>
      </c>
      <c r="AK10">
        <v>34.799999999999997</v>
      </c>
      <c r="AL10" s="1">
        <f>52.991452991*1.17</f>
        <v>61.999999999469999</v>
      </c>
      <c r="AM10" s="4">
        <f>AK10*AL10</f>
        <v>2157.5999999815558</v>
      </c>
    </row>
    <row r="11" spans="1:39">
      <c r="B11" t="s">
        <v>154</v>
      </c>
      <c r="C11" s="4" t="s">
        <v>268</v>
      </c>
      <c r="AK11">
        <v>66.8</v>
      </c>
      <c r="AL11" s="1">
        <f>51.282051282*1.17</f>
        <v>59.999999999939995</v>
      </c>
      <c r="AM11" s="4">
        <f>AK11*AL11</f>
        <v>4007.9999999959914</v>
      </c>
    </row>
    <row r="12" spans="1:39">
      <c r="B12" t="s">
        <v>154</v>
      </c>
      <c r="C12" s="4" t="s">
        <v>266</v>
      </c>
      <c r="AK12">
        <f>77.1+72.9</f>
        <v>150</v>
      </c>
      <c r="AL12" s="1">
        <f>41.025641026*1.17</f>
        <v>48.000000000420002</v>
      </c>
      <c r="AM12" s="4">
        <f>AK12*AL12</f>
        <v>7200.0000000630007</v>
      </c>
    </row>
    <row r="13" spans="1:39">
      <c r="B13" t="s">
        <v>220</v>
      </c>
      <c r="C13" s="4" t="s">
        <v>221</v>
      </c>
      <c r="Y13">
        <v>35.65</v>
      </c>
      <c r="Z13" s="1">
        <f>64.957264957*1.17</f>
        <v>75.999999999690004</v>
      </c>
      <c r="AA13" s="4">
        <f>Y13*Z13</f>
        <v>2709.3999999889484</v>
      </c>
    </row>
    <row r="14" spans="1:39">
      <c r="B14" t="s">
        <v>189</v>
      </c>
      <c r="C14" s="4" t="s">
        <v>190</v>
      </c>
      <c r="J14">
        <v>6.47</v>
      </c>
      <c r="K14" s="1">
        <f>64.102564103*1.17</f>
        <v>75.000000000509999</v>
      </c>
      <c r="L14" s="4">
        <f>J14*K14</f>
        <v>485.2500000032997</v>
      </c>
    </row>
    <row r="15" spans="1:39">
      <c r="B15" t="s">
        <v>189</v>
      </c>
      <c r="C15" s="4" t="s">
        <v>219</v>
      </c>
      <c r="Y15">
        <v>29.17</v>
      </c>
      <c r="Z15" s="1">
        <f>70.94017094*1.17</f>
        <v>82.999999999799996</v>
      </c>
      <c r="AA15" s="4">
        <f>Y15*Z15</f>
        <v>2421.1099999941662</v>
      </c>
    </row>
    <row r="16" spans="1:39">
      <c r="B16" t="s">
        <v>49</v>
      </c>
      <c r="C16" s="4" t="s">
        <v>65</v>
      </c>
      <c r="E16" s="19"/>
      <c r="J16">
        <v>40.200000000000003</v>
      </c>
      <c r="K16" s="1">
        <f>14.52991453*1.17</f>
        <v>17.000000000099998</v>
      </c>
      <c r="L16" s="4">
        <f>J16*K16</f>
        <v>683.40000000401994</v>
      </c>
      <c r="P16">
        <v>78.400000000000006</v>
      </c>
      <c r="Q16" s="31">
        <f>12.820512821*1.17</f>
        <v>15.000000000569999</v>
      </c>
      <c r="R16" s="25">
        <f>P16*Q16</f>
        <v>1176.000000044688</v>
      </c>
      <c r="V16" s="23">
        <v>79.2</v>
      </c>
      <c r="W16" s="1">
        <f>12.820512821*1.17</f>
        <v>15.000000000569999</v>
      </c>
      <c r="X16" s="25">
        <f>V16*W16</f>
        <v>1188.0000000451439</v>
      </c>
    </row>
    <row r="17" spans="2:39">
      <c r="B17" t="s">
        <v>2</v>
      </c>
      <c r="C17" s="4" t="s">
        <v>196</v>
      </c>
      <c r="E17" s="19"/>
      <c r="J17">
        <f>15.88+18.09</f>
        <v>33.97</v>
      </c>
      <c r="K17" s="1">
        <f>83.760683761*1.17</f>
        <v>98.000000000369994</v>
      </c>
      <c r="L17" s="4">
        <f>J17*K17</f>
        <v>3329.0600000125687</v>
      </c>
    </row>
    <row r="18" spans="2:39">
      <c r="B18" t="s">
        <v>222</v>
      </c>
      <c r="C18" s="4" t="s">
        <v>223</v>
      </c>
      <c r="E18" s="19"/>
      <c r="V18" s="23">
        <v>468.4</v>
      </c>
      <c r="W18" s="1">
        <f>12.820512821*1.17</f>
        <v>15.000000000569999</v>
      </c>
      <c r="X18" s="25">
        <f>V18*W18</f>
        <v>7026.0000002669876</v>
      </c>
    </row>
    <row r="19" spans="2:39">
      <c r="B19" t="s">
        <v>2</v>
      </c>
      <c r="C19" s="4" t="s">
        <v>214</v>
      </c>
      <c r="E19" s="19"/>
      <c r="P19">
        <v>9.73</v>
      </c>
      <c r="Q19" s="31">
        <f>52.991452991*1.17</f>
        <v>61.999999999469999</v>
      </c>
      <c r="R19" s="25">
        <f>P19*Q19</f>
        <v>603.25999999484316</v>
      </c>
    </row>
    <row r="20" spans="2:39">
      <c r="B20" t="s">
        <v>2</v>
      </c>
      <c r="C20" s="4" t="s">
        <v>191</v>
      </c>
      <c r="E20" s="19"/>
      <c r="J20">
        <v>80.17</v>
      </c>
      <c r="K20" s="1">
        <f>52.991452991*1.17</f>
        <v>61.999999999469999</v>
      </c>
      <c r="L20" s="4">
        <f>J20*K20</f>
        <v>4970.5399999575102</v>
      </c>
    </row>
    <row r="21" spans="2:39">
      <c r="B21" t="s">
        <v>2</v>
      </c>
      <c r="C21" s="4" t="s">
        <v>193</v>
      </c>
      <c r="E21" s="19"/>
      <c r="J21">
        <v>8.9700000000000006</v>
      </c>
      <c r="K21" s="1">
        <f>59.829059829*1.17</f>
        <v>69.999999999929997</v>
      </c>
      <c r="L21" s="4">
        <f>J21*K21</f>
        <v>627.89999999937208</v>
      </c>
    </row>
    <row r="22" spans="2:39">
      <c r="B22" t="s">
        <v>49</v>
      </c>
      <c r="C22" s="4" t="s">
        <v>74</v>
      </c>
      <c r="S22">
        <v>465.1</v>
      </c>
      <c r="T22" s="1">
        <f>12.820512821*1.17</f>
        <v>15.000000000569999</v>
      </c>
      <c r="U22" s="4">
        <f>S22*T22</f>
        <v>6976.5000002651068</v>
      </c>
      <c r="AB22">
        <v>76.599999999999994</v>
      </c>
      <c r="AC22" s="1">
        <v>15</v>
      </c>
      <c r="AD22" s="4">
        <f>AB22*AC22</f>
        <v>1149</v>
      </c>
    </row>
    <row r="23" spans="2:39">
      <c r="B23" t="s">
        <v>49</v>
      </c>
      <c r="C23" s="4" t="s">
        <v>228</v>
      </c>
      <c r="V23" s="23">
        <f>158.8+159.2</f>
        <v>318</v>
      </c>
      <c r="W23" s="1">
        <f>12.820512821*1.17</f>
        <v>15.000000000569999</v>
      </c>
      <c r="X23" s="25">
        <f>V23*W23</f>
        <v>4770.0000001812596</v>
      </c>
    </row>
    <row r="24" spans="2:39">
      <c r="B24" t="s">
        <v>2</v>
      </c>
      <c r="C24" s="4" t="s">
        <v>213</v>
      </c>
      <c r="P24">
        <f>18.02+18.85</f>
        <v>36.870000000000005</v>
      </c>
      <c r="Q24" s="31">
        <f>59.829059829*1.17</f>
        <v>69.999999999929997</v>
      </c>
      <c r="R24" s="25">
        <f>Q24*P24</f>
        <v>2580.8999999974194</v>
      </c>
      <c r="Y24">
        <v>40.46</v>
      </c>
      <c r="Z24" s="1">
        <f>64.102564103*1.17</f>
        <v>75.000000000509999</v>
      </c>
      <c r="AA24" s="4">
        <f>Y24*Z24</f>
        <v>3034.5000000206346</v>
      </c>
    </row>
    <row r="25" spans="2:39">
      <c r="B25" t="s">
        <v>2</v>
      </c>
      <c r="C25" s="4" t="s">
        <v>227</v>
      </c>
      <c r="V25" s="23">
        <v>10.91</v>
      </c>
      <c r="W25" s="1">
        <f>94.017094017*1.17</f>
        <v>109.99999999988999</v>
      </c>
      <c r="X25" s="25">
        <f>V25*W25</f>
        <v>1200.0999999987998</v>
      </c>
    </row>
    <row r="26" spans="2:39">
      <c r="B26" t="s">
        <v>3</v>
      </c>
      <c r="C26" s="4" t="s">
        <v>4</v>
      </c>
      <c r="D26">
        <v>94.29</v>
      </c>
      <c r="E26" s="1">
        <f>128.20512821*1.17</f>
        <v>150.0000000057</v>
      </c>
      <c r="F26" s="4">
        <f>12088.46+2055.04</f>
        <v>14143.5</v>
      </c>
      <c r="J26">
        <v>65.23</v>
      </c>
      <c r="K26" s="1">
        <f>128.20512821*1.17</f>
        <v>150.0000000057</v>
      </c>
      <c r="L26" s="4">
        <f>J26*K26</f>
        <v>9784.5000003718123</v>
      </c>
      <c r="P26">
        <v>97.25</v>
      </c>
      <c r="Q26" s="31">
        <f>128.20512821*1.17</f>
        <v>150.0000000057</v>
      </c>
      <c r="R26" s="25">
        <f>P26*Q26</f>
        <v>14587.500000554326</v>
      </c>
      <c r="S26">
        <v>106.16</v>
      </c>
      <c r="T26" s="1">
        <f>126.17851461*1.17</f>
        <v>147.62886209369998</v>
      </c>
      <c r="U26" s="4">
        <f>S26*T26</f>
        <v>15672.279999867189</v>
      </c>
      <c r="V26" s="23">
        <v>93.8</v>
      </c>
      <c r="W26" s="1">
        <f>128.20512821*1.17</f>
        <v>150.0000000057</v>
      </c>
      <c r="X26" s="25">
        <f>V26*W26</f>
        <v>14070.000000534659</v>
      </c>
      <c r="Y26">
        <v>127.05</v>
      </c>
      <c r="Z26" s="1">
        <f>128.20512821*1.17</f>
        <v>150.0000000057</v>
      </c>
      <c r="AA26" s="4">
        <f>Y26*Z26</f>
        <v>19057.500000724183</v>
      </c>
      <c r="AK26">
        <v>48.19</v>
      </c>
      <c r="AL26" s="1">
        <f>128.20512821*1.17</f>
        <v>150.0000000057</v>
      </c>
      <c r="AM26" s="4">
        <f>AK26*AL26</f>
        <v>7228.5000002746829</v>
      </c>
    </row>
    <row r="27" spans="2:39">
      <c r="B27" t="s">
        <v>3</v>
      </c>
      <c r="C27" s="4" t="s">
        <v>107</v>
      </c>
      <c r="J27">
        <v>31.76</v>
      </c>
      <c r="K27" s="1">
        <f>128.20512821*1.17</f>
        <v>150.0000000057</v>
      </c>
      <c r="L27" s="4">
        <f>J27*K27</f>
        <v>4764.0000001810322</v>
      </c>
      <c r="V27" s="23">
        <v>29.73</v>
      </c>
      <c r="W27" s="1">
        <f>128.20512821*1.17</f>
        <v>150.0000000057</v>
      </c>
      <c r="X27" s="25">
        <f>V27*W27</f>
        <v>4459.5000001694607</v>
      </c>
    </row>
    <row r="28" spans="2:39">
      <c r="B28" t="s">
        <v>3</v>
      </c>
      <c r="C28" s="4" t="s">
        <v>159</v>
      </c>
      <c r="D28">
        <v>52.06</v>
      </c>
      <c r="E28" s="1">
        <f>461.53846154*1.17</f>
        <v>540.0000000018</v>
      </c>
      <c r="F28" s="4">
        <f>24027.69+4084.71</f>
        <v>28112.399999999998</v>
      </c>
    </row>
    <row r="29" spans="2:39">
      <c r="B29" t="s">
        <v>49</v>
      </c>
      <c r="C29" s="4" t="s">
        <v>131</v>
      </c>
      <c r="AH29">
        <v>77.400000000000006</v>
      </c>
      <c r="AI29" s="1">
        <v>15</v>
      </c>
      <c r="AJ29" s="4">
        <f>AH29*AI29</f>
        <v>1161</v>
      </c>
    </row>
    <row r="30" spans="2:39">
      <c r="B30" t="s">
        <v>49</v>
      </c>
      <c r="C30" s="4" t="s">
        <v>106</v>
      </c>
      <c r="AE30">
        <v>154.80000000000001</v>
      </c>
      <c r="AF30" s="1">
        <v>15</v>
      </c>
      <c r="AG30" s="4">
        <f>AE30*AF30</f>
        <v>2322</v>
      </c>
      <c r="AH30">
        <v>116.1</v>
      </c>
      <c r="AI30" s="1">
        <v>15</v>
      </c>
      <c r="AJ30" s="4">
        <f>AH30*AI30</f>
        <v>1741.5</v>
      </c>
      <c r="AK30" s="8">
        <v>116.1</v>
      </c>
      <c r="AL30" s="1">
        <f>12.820512821*1.17</f>
        <v>15.000000000569999</v>
      </c>
      <c r="AM30" s="4">
        <f>AK30*AL30</f>
        <v>1741.5000000661769</v>
      </c>
    </row>
    <row r="31" spans="2:39">
      <c r="B31" t="s">
        <v>49</v>
      </c>
      <c r="C31" s="4" t="s">
        <v>260</v>
      </c>
      <c r="AH31">
        <f>154.8+464.4</f>
        <v>619.20000000000005</v>
      </c>
      <c r="AI31" s="1">
        <f>12.820512821*1.17</f>
        <v>15.000000000569999</v>
      </c>
      <c r="AJ31" s="4">
        <f>AH31*AI31</f>
        <v>9288.000000352944</v>
      </c>
      <c r="AK31">
        <v>464.4</v>
      </c>
      <c r="AL31" s="1">
        <f>12.820512801*1.17</f>
        <v>14.999999977169999</v>
      </c>
      <c r="AM31" s="4">
        <f>AK31*AL31</f>
        <v>6965.9999893977474</v>
      </c>
    </row>
    <row r="32" spans="2:39">
      <c r="B32" t="s">
        <v>49</v>
      </c>
      <c r="C32" s="4" t="s">
        <v>110</v>
      </c>
      <c r="AE32">
        <v>232.2</v>
      </c>
      <c r="AF32" s="1">
        <v>15</v>
      </c>
      <c r="AG32" s="4">
        <f>AE32*AF32</f>
        <v>3483</v>
      </c>
      <c r="AH32">
        <v>116.1</v>
      </c>
      <c r="AI32" s="1">
        <v>15</v>
      </c>
      <c r="AJ32" s="4">
        <f>AH32*AI32</f>
        <v>1741.5</v>
      </c>
    </row>
    <row r="33" spans="2:39">
      <c r="B33" t="s">
        <v>109</v>
      </c>
      <c r="C33" s="4" t="s">
        <v>108</v>
      </c>
      <c r="AH33">
        <v>4.0999999999999996</v>
      </c>
      <c r="AI33" s="1">
        <f>57.264957265*1.17</f>
        <v>67.000000000049994</v>
      </c>
      <c r="AJ33" s="4">
        <f>AH33*AI33</f>
        <v>274.70000000020497</v>
      </c>
    </row>
    <row r="34" spans="2:39">
      <c r="B34" t="s">
        <v>133</v>
      </c>
      <c r="C34" s="4" t="s">
        <v>138</v>
      </c>
    </row>
    <row r="35" spans="2:39">
      <c r="B35" t="s">
        <v>133</v>
      </c>
      <c r="C35" s="4" t="s">
        <v>225</v>
      </c>
      <c r="V35" s="23">
        <v>18.329999999999998</v>
      </c>
      <c r="W35" s="1">
        <f>41.025641026*1.17</f>
        <v>48.000000000420002</v>
      </c>
      <c r="X35" s="25">
        <f>V35*W35</f>
        <v>879.84000000769856</v>
      </c>
    </row>
    <row r="36" spans="2:39">
      <c r="B36" t="s">
        <v>133</v>
      </c>
      <c r="C36" s="4" t="s">
        <v>134</v>
      </c>
    </row>
    <row r="37" spans="2:39">
      <c r="B37" t="s">
        <v>133</v>
      </c>
      <c r="C37" s="4" t="s">
        <v>244</v>
      </c>
      <c r="AB37">
        <v>30.44</v>
      </c>
      <c r="AC37" s="1">
        <f>39.316239316*1.17</f>
        <v>45.999999999719996</v>
      </c>
      <c r="AD37" s="4">
        <f>AB37*AC37</f>
        <v>1400.2399999914767</v>
      </c>
    </row>
    <row r="38" spans="2:39">
      <c r="B38" t="s">
        <v>133</v>
      </c>
      <c r="C38" s="4" t="s">
        <v>158</v>
      </c>
      <c r="D38">
        <v>40.79</v>
      </c>
      <c r="E38" s="1">
        <f>41.88034188*1.17</f>
        <v>48.9999999996</v>
      </c>
      <c r="F38" s="4">
        <f>1708.3+290.41</f>
        <v>1998.71</v>
      </c>
    </row>
    <row r="39" spans="2:39">
      <c r="B39" t="s">
        <v>135</v>
      </c>
      <c r="C39" s="4" t="s">
        <v>136</v>
      </c>
    </row>
    <row r="40" spans="2:39">
      <c r="B40" t="s">
        <v>102</v>
      </c>
      <c r="C40" s="4" t="s">
        <v>103</v>
      </c>
      <c r="D40">
        <v>53.31</v>
      </c>
      <c r="E40" s="1">
        <f>55.555555556*1.17</f>
        <v>65.000000000520004</v>
      </c>
      <c r="F40" s="4">
        <f>2961.67+503.48</f>
        <v>3465.15</v>
      </c>
    </row>
    <row r="41" spans="2:39">
      <c r="B41" t="s">
        <v>154</v>
      </c>
      <c r="C41" s="4" t="s">
        <v>218</v>
      </c>
      <c r="Y41">
        <v>42.8</v>
      </c>
      <c r="Z41" s="1">
        <f>78.632478632*1.17</f>
        <v>91.999999999439993</v>
      </c>
      <c r="AA41" s="4">
        <f>Y41*Z41</f>
        <v>3937.5999999760315</v>
      </c>
    </row>
    <row r="42" spans="2:39">
      <c r="B42" t="s">
        <v>154</v>
      </c>
      <c r="C42" s="4" t="s">
        <v>217</v>
      </c>
      <c r="V42" s="23">
        <v>157.30000000000001</v>
      </c>
      <c r="W42" s="1">
        <f>42.735042735*1.17</f>
        <v>49.999999999949999</v>
      </c>
      <c r="X42" s="25">
        <f>V42*W42</f>
        <v>7864.9999999921356</v>
      </c>
      <c r="Y42">
        <f>159.3+70.1</f>
        <v>229.4</v>
      </c>
      <c r="Z42" s="1">
        <f>42.735042735*1.17</f>
        <v>49.999999999949999</v>
      </c>
      <c r="AA42" s="4">
        <f>Y42*Z42</f>
        <v>11469.999999988529</v>
      </c>
      <c r="AE42">
        <v>82.3</v>
      </c>
      <c r="AF42" s="1">
        <f>42.735042735*1.17</f>
        <v>49.999999999949999</v>
      </c>
      <c r="AG42" s="4">
        <f>AE42*AF42</f>
        <v>4114.9999999958845</v>
      </c>
      <c r="AK42">
        <f>80.9+81</f>
        <v>161.9</v>
      </c>
      <c r="AL42" s="1">
        <f>42.735042735*1.17</f>
        <v>49.999999999949999</v>
      </c>
      <c r="AM42" s="4">
        <f>AK42*AL42</f>
        <v>8094.9999999919055</v>
      </c>
    </row>
    <row r="43" spans="2:39">
      <c r="B43" t="s">
        <v>226</v>
      </c>
      <c r="C43" s="4" t="s">
        <v>217</v>
      </c>
      <c r="V43" s="23">
        <v>17.78</v>
      </c>
      <c r="W43" s="1">
        <f>58.11965812*1.17</f>
        <v>68.000000000399993</v>
      </c>
      <c r="X43" s="25">
        <f>V43*W43</f>
        <v>1209.040000007112</v>
      </c>
    </row>
    <row r="44" spans="2:39">
      <c r="B44" t="s">
        <v>102</v>
      </c>
      <c r="C44" s="4" t="s">
        <v>192</v>
      </c>
      <c r="J44">
        <v>33</v>
      </c>
      <c r="K44" s="1">
        <f>17.948717949*1.17</f>
        <v>21.000000000329997</v>
      </c>
      <c r="L44" s="4">
        <f>J44*K44</f>
        <v>693.00000001088995</v>
      </c>
    </row>
    <row r="45" spans="2:39">
      <c r="B45" t="s">
        <v>102</v>
      </c>
      <c r="C45" s="4" t="s">
        <v>199</v>
      </c>
      <c r="J45">
        <v>31.1</v>
      </c>
      <c r="K45" s="1">
        <f>17.948717949*1.17</f>
        <v>21.000000000329997</v>
      </c>
      <c r="L45" s="4">
        <f>J45*K45</f>
        <v>653.10000001026299</v>
      </c>
    </row>
    <row r="46" spans="2:39">
      <c r="B46" t="s">
        <v>3</v>
      </c>
      <c r="C46" s="4" t="s">
        <v>8</v>
      </c>
      <c r="P46">
        <f>52.71+107.69</f>
        <v>160.4</v>
      </c>
      <c r="Q46" s="31">
        <f>53.846153846*1.17</f>
        <v>62.999999999819998</v>
      </c>
      <c r="R46" s="25">
        <f>P46*Q46</f>
        <v>10105.199999971128</v>
      </c>
      <c r="S46">
        <f>52.17+65.78</f>
        <v>117.95</v>
      </c>
      <c r="T46" s="1">
        <f>53.846153846*1.17</f>
        <v>62.999999999819998</v>
      </c>
      <c r="U46" s="4">
        <f>S46*T46</f>
        <v>7430.8499999787691</v>
      </c>
      <c r="Y46">
        <v>98.97</v>
      </c>
      <c r="Z46" s="1">
        <f>53.846153846*1.17</f>
        <v>62.999999999819998</v>
      </c>
      <c r="AA46" s="4">
        <f>Y46*Z46</f>
        <v>6235.1099999821854</v>
      </c>
      <c r="AH46">
        <v>52.54</v>
      </c>
      <c r="AI46" s="1">
        <f>53.846153846*1.17</f>
        <v>62.999999999819998</v>
      </c>
      <c r="AJ46" s="4">
        <f>AH46*AI46</f>
        <v>3310.0199999905426</v>
      </c>
      <c r="AK46">
        <v>104.73</v>
      </c>
      <c r="AL46" s="1">
        <f>53.846153846*1.17</f>
        <v>62.999999999819998</v>
      </c>
      <c r="AM46" s="4">
        <f>AK46*AL46</f>
        <v>6597.9899999811487</v>
      </c>
    </row>
    <row r="47" spans="2:39">
      <c r="B47" t="s">
        <v>2</v>
      </c>
      <c r="C47" s="4" t="s">
        <v>137</v>
      </c>
    </row>
    <row r="48" spans="2:39">
      <c r="B48" t="s">
        <v>2</v>
      </c>
      <c r="C48" s="4" t="s">
        <v>216</v>
      </c>
      <c r="Y48">
        <v>72.31</v>
      </c>
      <c r="Z48" s="1">
        <f>42.735042735*1.17</f>
        <v>49.999999999949999</v>
      </c>
      <c r="AA48" s="4">
        <f>Y48*Z48</f>
        <v>3615.4999999963848</v>
      </c>
    </row>
    <row r="49" spans="2:36">
      <c r="B49" t="s">
        <v>49</v>
      </c>
      <c r="C49" s="4" t="s">
        <v>48</v>
      </c>
    </row>
    <row r="50" spans="2:36">
      <c r="B50" t="s">
        <v>49</v>
      </c>
      <c r="C50" s="4" t="s">
        <v>50</v>
      </c>
      <c r="J50">
        <v>469.6</v>
      </c>
      <c r="K50" s="1">
        <f>14.52991453*1.17</f>
        <v>17.000000000099998</v>
      </c>
      <c r="L50" s="4">
        <f>J50*K50</f>
        <v>7983.2000000469598</v>
      </c>
      <c r="P50">
        <v>466.6</v>
      </c>
      <c r="Q50" s="31">
        <f>12.820512821*1.17</f>
        <v>15.000000000569999</v>
      </c>
      <c r="R50" s="25">
        <f>P50*Q50</f>
        <v>6999.0000002659617</v>
      </c>
      <c r="S50">
        <v>472.8</v>
      </c>
      <c r="T50" s="1">
        <f>12.820512821*1.17</f>
        <v>15.000000000569999</v>
      </c>
      <c r="U50" s="4">
        <f>S50*T50</f>
        <v>7092.000000269496</v>
      </c>
      <c r="V50" s="23">
        <f>114+358.2</f>
        <v>472.2</v>
      </c>
      <c r="W50" s="1">
        <f>12.820512821*1.17</f>
        <v>15.000000000569999</v>
      </c>
      <c r="X50" s="25">
        <f>V50*W50</f>
        <v>7083.0000002691531</v>
      </c>
      <c r="Y50">
        <f>186+167.1</f>
        <v>353.1</v>
      </c>
      <c r="Z50" s="1">
        <f>12.820512821*1.17</f>
        <v>15.000000000569999</v>
      </c>
      <c r="AA50" s="4">
        <f>Y50*Z50</f>
        <v>5296.5000002012666</v>
      </c>
      <c r="AB50">
        <f>556.9+498.6</f>
        <v>1055.5</v>
      </c>
      <c r="AC50" s="1">
        <f>12.820512821*1.17</f>
        <v>15.000000000569999</v>
      </c>
      <c r="AD50" s="4">
        <f>AB50*AC50</f>
        <v>15832.500000601634</v>
      </c>
      <c r="AE50">
        <v>336.2</v>
      </c>
      <c r="AF50" s="1">
        <f>12.820512821*1.17</f>
        <v>15.000000000569999</v>
      </c>
      <c r="AG50" s="4">
        <f>AE50*AF50</f>
        <v>5043.0000001916333</v>
      </c>
      <c r="AH50">
        <v>39.799999999999997</v>
      </c>
      <c r="AI50" s="1">
        <v>15</v>
      </c>
      <c r="AJ50" s="4">
        <f>AH50*AI50</f>
        <v>597</v>
      </c>
    </row>
    <row r="51" spans="2:36">
      <c r="B51" t="s">
        <v>2</v>
      </c>
      <c r="C51" s="4" t="s">
        <v>130</v>
      </c>
      <c r="D51">
        <v>37.25</v>
      </c>
      <c r="E51" s="1">
        <f>83.760683761*1.17</f>
        <v>98.000000000369994</v>
      </c>
      <c r="F51" s="4">
        <f>3120.09+530.41</f>
        <v>3650.5</v>
      </c>
      <c r="S51">
        <v>115.8</v>
      </c>
      <c r="T51" s="1">
        <f>12.820512821*1.17</f>
        <v>15.000000000569999</v>
      </c>
      <c r="U51" s="4">
        <f>T51*S51</f>
        <v>1737.0000000660059</v>
      </c>
      <c r="AB51">
        <v>73.400000000000006</v>
      </c>
      <c r="AC51" s="1">
        <f>15</f>
        <v>15</v>
      </c>
      <c r="AD51" s="4">
        <f>AB51*AC51</f>
        <v>1101</v>
      </c>
    </row>
    <row r="52" spans="2:36">
      <c r="B52" t="s">
        <v>2</v>
      </c>
      <c r="C52" s="4" t="s">
        <v>65</v>
      </c>
    </row>
    <row r="53" spans="2:36">
      <c r="B53" t="s">
        <v>2</v>
      </c>
      <c r="C53" s="4" t="s">
        <v>184</v>
      </c>
      <c r="G53">
        <v>19.12</v>
      </c>
      <c r="H53" s="1">
        <f>83.760683761*1.17</f>
        <v>98.000000000369994</v>
      </c>
      <c r="I53" s="4">
        <f>1601.5+272.26</f>
        <v>1873.76</v>
      </c>
    </row>
    <row r="54" spans="2:36">
      <c r="B54" t="s">
        <v>49</v>
      </c>
      <c r="C54" s="4" t="s">
        <v>73</v>
      </c>
    </row>
    <row r="55" spans="2:36">
      <c r="B55" t="s">
        <v>75</v>
      </c>
      <c r="C55" s="4" t="s">
        <v>76</v>
      </c>
    </row>
    <row r="56" spans="2:36">
      <c r="B56" t="s">
        <v>3</v>
      </c>
      <c r="C56" s="4" t="s">
        <v>188</v>
      </c>
      <c r="J56">
        <v>28.89</v>
      </c>
      <c r="K56" s="1">
        <f>55.55555555555*1.17</f>
        <v>64.999999999993491</v>
      </c>
      <c r="L56" s="4">
        <f>J56*K56</f>
        <v>1877.8499999998121</v>
      </c>
    </row>
    <row r="57" spans="2:36">
      <c r="B57" t="s">
        <v>3</v>
      </c>
      <c r="C57" s="4" t="s">
        <v>77</v>
      </c>
      <c r="P57">
        <v>41.47</v>
      </c>
      <c r="Q57" s="31">
        <f>54.700854701*1.17</f>
        <v>64.00000000016999</v>
      </c>
      <c r="R57" s="25">
        <f>P57*Q57</f>
        <v>2654.0800000070494</v>
      </c>
      <c r="Y57">
        <v>58.15</v>
      </c>
      <c r="Z57" s="1">
        <f>54.700854701*1.17</f>
        <v>64.00000000016999</v>
      </c>
      <c r="AA57" s="4">
        <f>Y57*Z57</f>
        <v>3721.6000000098848</v>
      </c>
      <c r="AB57">
        <f>25.28+28.27</f>
        <v>53.55</v>
      </c>
      <c r="AC57" s="1">
        <f>54.700854701*1.17</f>
        <v>64.00000000016999</v>
      </c>
      <c r="AD57" s="4">
        <f>AB57*AC57</f>
        <v>3427.200000009103</v>
      </c>
    </row>
    <row r="58" spans="2:36">
      <c r="B58" t="s">
        <v>3</v>
      </c>
      <c r="C58" s="4" t="s">
        <v>132</v>
      </c>
    </row>
    <row r="59" spans="2:36">
      <c r="B59" t="s">
        <v>3</v>
      </c>
      <c r="C59" s="4" t="s">
        <v>187</v>
      </c>
      <c r="J59">
        <v>38.76</v>
      </c>
      <c r="K59" s="1">
        <f>367.52136752*1.17</f>
        <v>429.99999999839997</v>
      </c>
      <c r="L59" s="4">
        <f>J59*K59</f>
        <v>16666.799999937983</v>
      </c>
    </row>
    <row r="60" spans="2:36">
      <c r="B60" t="s">
        <v>166</v>
      </c>
      <c r="C60" s="4" t="s">
        <v>167</v>
      </c>
      <c r="D60">
        <v>59.85</v>
      </c>
      <c r="E60" s="1">
        <f>78.632478632*1.17</f>
        <v>91.999999999439993</v>
      </c>
      <c r="F60" s="4">
        <f>4706.15+800.05</f>
        <v>5506.2</v>
      </c>
    </row>
    <row r="61" spans="2:36">
      <c r="B61" t="s">
        <v>3</v>
      </c>
      <c r="C61" s="4" t="s">
        <v>151</v>
      </c>
      <c r="D61" s="3">
        <v>10.119999999999999</v>
      </c>
      <c r="E61" s="1">
        <f>803.41880342*1.17</f>
        <v>940.00000000139994</v>
      </c>
      <c r="F61" s="4">
        <f>8130.6+1382.2</f>
        <v>9512.8000000000011</v>
      </c>
      <c r="G61">
        <v>15.18</v>
      </c>
      <c r="H61" s="1">
        <f>803.41880342*1.17</f>
        <v>940.00000000139994</v>
      </c>
      <c r="I61" s="4">
        <f>12195.9+2073.3</f>
        <v>14269.2</v>
      </c>
      <c r="J61">
        <v>15.43</v>
      </c>
      <c r="K61" s="1">
        <f>803.41880342*1.17</f>
        <v>940.00000000139994</v>
      </c>
      <c r="L61" s="4">
        <f>J61*K61</f>
        <v>14504.200000021601</v>
      </c>
      <c r="Y61">
        <v>30.35</v>
      </c>
      <c r="Z61" s="1">
        <f>803.41880342*1.17</f>
        <v>940.00000000139994</v>
      </c>
      <c r="AA61" s="4">
        <f>Y61*Z61</f>
        <v>28529.000000042488</v>
      </c>
    </row>
    <row r="62" spans="2:36">
      <c r="B62" t="s">
        <v>197</v>
      </c>
      <c r="C62" s="4" t="s">
        <v>224</v>
      </c>
      <c r="D62" s="3"/>
      <c r="V62" s="23">
        <v>19.3</v>
      </c>
      <c r="W62" s="1">
        <f>102.56410256*1.17</f>
        <v>119.99999999519999</v>
      </c>
      <c r="X62" s="25">
        <f>V62*W62</f>
        <v>2315.9999999073598</v>
      </c>
    </row>
    <row r="63" spans="2:36">
      <c r="B63" t="s">
        <v>197</v>
      </c>
      <c r="C63" s="4" t="s">
        <v>198</v>
      </c>
      <c r="D63" s="3"/>
      <c r="J63">
        <v>12.6</v>
      </c>
      <c r="K63" s="1">
        <f>64.957264957*1.17</f>
        <v>75.999999999690004</v>
      </c>
      <c r="L63" s="4">
        <f>J63*K63</f>
        <v>957.59999999609408</v>
      </c>
    </row>
    <row r="64" spans="2:36">
      <c r="D64" s="3"/>
    </row>
    <row r="65" spans="1:39" s="5" customFormat="1">
      <c r="C65" s="7"/>
      <c r="E65" s="17"/>
      <c r="F65" s="9">
        <f>SUM(F3:F61)</f>
        <v>105509.73999999999</v>
      </c>
      <c r="H65" s="17"/>
      <c r="I65" s="7">
        <f>SUM(I3:I61)</f>
        <v>16142.960000000001</v>
      </c>
      <c r="K65" s="17"/>
      <c r="L65" s="7">
        <f>SUM(L3:L63)</f>
        <v>70297.200000559358</v>
      </c>
      <c r="N65" s="17"/>
      <c r="O65" s="7"/>
      <c r="Q65" s="32"/>
      <c r="R65" s="9">
        <f>SUM(R3:R63)</f>
        <v>56033.980001176831</v>
      </c>
      <c r="T65" s="17"/>
      <c r="U65" s="7">
        <f>SUM(U3:U63)</f>
        <v>38908.630000446567</v>
      </c>
      <c r="V65" s="24"/>
      <c r="W65" s="17"/>
      <c r="X65" s="9">
        <f>SUM(X3:X63)</f>
        <v>52066.480001379765</v>
      </c>
      <c r="Z65" s="17"/>
      <c r="AA65" s="7">
        <f>SUM(AA3:AA63)</f>
        <v>92687.020000931763</v>
      </c>
      <c r="AC65" s="17"/>
      <c r="AD65" s="7">
        <f>SUM(AD3:AD63)</f>
        <v>29328.440000645038</v>
      </c>
      <c r="AF65" s="17"/>
      <c r="AG65" s="7">
        <f>SUM(AG3:AG63)</f>
        <v>18726.200000168032</v>
      </c>
      <c r="AI65" s="17"/>
      <c r="AJ65" s="7">
        <f>SUM(AJ3:AJ64)</f>
        <v>27221.720000319765</v>
      </c>
      <c r="AL65" s="17"/>
      <c r="AM65" s="7">
        <f>SUM(AM6:AM64)</f>
        <v>52948.589989795451</v>
      </c>
    </row>
    <row r="66" spans="1:39" ht="8.25" customHeight="1"/>
    <row r="67" spans="1:39" s="10" customFormat="1">
      <c r="A67" s="10" t="s">
        <v>9</v>
      </c>
      <c r="B67" s="10" t="s">
        <v>10</v>
      </c>
      <c r="C67" s="11" t="s">
        <v>11</v>
      </c>
      <c r="D67" s="10">
        <v>77.3</v>
      </c>
      <c r="E67" s="15">
        <f>70.94017094*1.17</f>
        <v>82.999999999799996</v>
      </c>
      <c r="F67" s="11">
        <f>5483.68+932.22</f>
        <v>6415.9000000000005</v>
      </c>
      <c r="H67" s="15"/>
      <c r="I67" s="11"/>
      <c r="J67" s="10">
        <v>82.7</v>
      </c>
      <c r="K67" s="15">
        <f>70.94017094*1.17</f>
        <v>82.999999999799996</v>
      </c>
      <c r="L67" s="11">
        <f>5866.75+997.35</f>
        <v>6864.1</v>
      </c>
      <c r="M67" s="10">
        <v>83.4</v>
      </c>
      <c r="N67" s="15">
        <f>70.94017094*1.17</f>
        <v>82.999999999799996</v>
      </c>
      <c r="O67" s="11">
        <f>M67*N67</f>
        <v>6922.1999999833206</v>
      </c>
      <c r="P67" s="10">
        <v>83.6</v>
      </c>
      <c r="Q67" s="29">
        <f>70.94017094*1.17</f>
        <v>82.999999999799996</v>
      </c>
      <c r="R67" s="26">
        <f>Q67*P67</f>
        <v>6938.7999999832791</v>
      </c>
      <c r="T67" s="15"/>
      <c r="U67" s="11"/>
      <c r="V67" s="21">
        <v>77.8</v>
      </c>
      <c r="W67" s="15">
        <f>70.94017094*1.17</f>
        <v>82.999999999799996</v>
      </c>
      <c r="X67" s="26">
        <f>V67*W67</f>
        <v>6457.3999999844391</v>
      </c>
      <c r="Z67" s="15"/>
      <c r="AA67" s="11"/>
      <c r="AB67" s="10">
        <v>70.599999999999994</v>
      </c>
      <c r="AC67" s="15">
        <f>70.94017094*1.17</f>
        <v>82.999999999799996</v>
      </c>
      <c r="AD67" s="11">
        <f>AB67*AC67</f>
        <v>5859.7999999858794</v>
      </c>
      <c r="AE67" s="10">
        <v>61.7</v>
      </c>
      <c r="AF67" s="15">
        <f>70.94017094*1.17</f>
        <v>82.999999999799996</v>
      </c>
      <c r="AG67" s="11">
        <f>AE67*AF67</f>
        <v>5121.0999999876603</v>
      </c>
      <c r="AH67" s="10">
        <v>81.099999999999994</v>
      </c>
      <c r="AI67" s="15">
        <f>70.94017094*1.17</f>
        <v>82.999999999799996</v>
      </c>
      <c r="AJ67" s="11">
        <f>AH67*AI67</f>
        <v>6731.2999999837793</v>
      </c>
      <c r="AL67" s="15"/>
      <c r="AM67" s="11"/>
    </row>
    <row r="68" spans="1:39">
      <c r="B68" t="s">
        <v>10</v>
      </c>
      <c r="C68" s="4" t="s">
        <v>89</v>
      </c>
      <c r="S68">
        <v>26.4</v>
      </c>
      <c r="T68" s="1">
        <f>74.444444444*1.17</f>
        <v>87.099999999479991</v>
      </c>
      <c r="U68" s="4">
        <f>S68*T68</f>
        <v>2299.4399999862717</v>
      </c>
    </row>
    <row r="69" spans="1:39">
      <c r="B69" t="s">
        <v>10</v>
      </c>
      <c r="C69" s="4" t="s">
        <v>98</v>
      </c>
      <c r="S69">
        <v>25.2</v>
      </c>
      <c r="T69" s="1">
        <f>74.444444444*1.17</f>
        <v>87.099999999479991</v>
      </c>
      <c r="U69" s="4">
        <f>S69*T69</f>
        <v>2194.9199999868956</v>
      </c>
    </row>
    <row r="70" spans="1:39">
      <c r="B70" t="s">
        <v>10</v>
      </c>
      <c r="C70" s="4" t="s">
        <v>88</v>
      </c>
    </row>
    <row r="71" spans="1:39">
      <c r="B71" t="s">
        <v>10</v>
      </c>
      <c r="C71" s="4" t="s">
        <v>90</v>
      </c>
    </row>
    <row r="72" spans="1:39">
      <c r="B72" t="s">
        <v>10</v>
      </c>
      <c r="C72" s="4" t="s">
        <v>152</v>
      </c>
      <c r="J72">
        <v>71.7</v>
      </c>
      <c r="K72" s="1">
        <f>49.572649573*1.17</f>
        <v>58.000000000409997</v>
      </c>
      <c r="L72" s="4">
        <f>3554.36+604.24</f>
        <v>4158.6000000000004</v>
      </c>
      <c r="V72" s="23">
        <v>75.3</v>
      </c>
      <c r="W72" s="1">
        <f>49.572649573*1.17</f>
        <v>58.000000000409997</v>
      </c>
      <c r="X72" s="25">
        <f>V72*W72</f>
        <v>4367.4000000308724</v>
      </c>
    </row>
    <row r="73" spans="1:39">
      <c r="B73" t="s">
        <v>10</v>
      </c>
      <c r="C73" s="4" t="s">
        <v>125</v>
      </c>
    </row>
    <row r="74" spans="1:39">
      <c r="B74" t="s">
        <v>10</v>
      </c>
      <c r="C74" s="4" t="s">
        <v>91</v>
      </c>
    </row>
    <row r="75" spans="1:39">
      <c r="B75" t="s">
        <v>10</v>
      </c>
      <c r="C75" s="4" t="s">
        <v>92</v>
      </c>
    </row>
    <row r="76" spans="1:39">
      <c r="B76" t="s">
        <v>10</v>
      </c>
      <c r="C76" s="4" t="s">
        <v>93</v>
      </c>
    </row>
    <row r="77" spans="1:39">
      <c r="B77" t="s">
        <v>10</v>
      </c>
      <c r="C77" s="4" t="s">
        <v>183</v>
      </c>
      <c r="J77">
        <v>9.1999999999999993</v>
      </c>
      <c r="K77" s="1">
        <f>71.794871795*1.17</f>
        <v>84.000000000149996</v>
      </c>
      <c r="L77" s="4">
        <f>660.51+112.29</f>
        <v>772.8</v>
      </c>
      <c r="AB77">
        <v>15.6</v>
      </c>
      <c r="AC77" s="1">
        <f>72.64957265*1.17</f>
        <v>85.000000000499995</v>
      </c>
      <c r="AD77" s="4">
        <f>AB77*AC77</f>
        <v>1326.0000000077998</v>
      </c>
    </row>
    <row r="78" spans="1:39">
      <c r="B78" t="s">
        <v>10</v>
      </c>
      <c r="C78" s="4" t="s">
        <v>261</v>
      </c>
      <c r="AH78">
        <v>138</v>
      </c>
      <c r="AI78" s="1">
        <f>70.085470085*1.17</f>
        <v>81.999999999449997</v>
      </c>
      <c r="AJ78" s="4">
        <f>AH78*AI78</f>
        <v>11315.999999924099</v>
      </c>
    </row>
    <row r="79" spans="1:39">
      <c r="B79" t="s">
        <v>10</v>
      </c>
      <c r="C79" s="4" t="s">
        <v>237</v>
      </c>
      <c r="AB79">
        <v>29.8</v>
      </c>
      <c r="AC79" s="1">
        <f>109.4017094*1.17</f>
        <v>127.99999999799999</v>
      </c>
      <c r="AD79" s="4">
        <f>AB79*AC79</f>
        <v>3814.3999999404</v>
      </c>
    </row>
    <row r="80" spans="1:39">
      <c r="B80" t="s">
        <v>10</v>
      </c>
      <c r="C80" s="4" t="s">
        <v>250</v>
      </c>
      <c r="AE80">
        <v>42.7</v>
      </c>
      <c r="AF80" s="1">
        <f>82.051282051*1.17</f>
        <v>95.999999999669996</v>
      </c>
      <c r="AG80" s="4">
        <f>AE80*AF80</f>
        <v>4099.199999985909</v>
      </c>
      <c r="AK80">
        <v>37.9</v>
      </c>
      <c r="AL80" s="1">
        <f>82.051282051*1.17</f>
        <v>95.999999999669996</v>
      </c>
      <c r="AM80" s="4">
        <f>AK80*AL80</f>
        <v>3638.3999999874927</v>
      </c>
    </row>
    <row r="81" spans="2:39">
      <c r="B81" t="s">
        <v>10</v>
      </c>
      <c r="C81" s="4" t="s">
        <v>236</v>
      </c>
      <c r="AB81">
        <v>82.8</v>
      </c>
      <c r="AC81" s="1">
        <f>82.051282051*1.17</f>
        <v>95.999999999669996</v>
      </c>
      <c r="AD81" s="4">
        <f>AB81*AC81</f>
        <v>7948.7999999726753</v>
      </c>
    </row>
    <row r="82" spans="2:39">
      <c r="B82" t="s">
        <v>10</v>
      </c>
      <c r="C82" s="4" t="s">
        <v>46</v>
      </c>
      <c r="P82">
        <v>79.7</v>
      </c>
      <c r="Q82" s="31">
        <f>82.051282051*1.17</f>
        <v>95.999999999669996</v>
      </c>
      <c r="R82" s="25">
        <f>Q82*P82</f>
        <v>7651.1999999736991</v>
      </c>
      <c r="V82" s="23">
        <v>81.8</v>
      </c>
      <c r="W82" s="1">
        <f>82.051282051*1.17</f>
        <v>95.999999999669996</v>
      </c>
      <c r="X82" s="25">
        <f>V82*W82</f>
        <v>7852.7999999730055</v>
      </c>
      <c r="Y82">
        <v>68.5</v>
      </c>
      <c r="Z82" s="1">
        <f>82.051282051*1.17</f>
        <v>95.999999999669996</v>
      </c>
      <c r="AA82" s="4">
        <f>Y82*Z82</f>
        <v>6575.9999999773945</v>
      </c>
      <c r="AB82">
        <v>63.6</v>
      </c>
      <c r="AC82" s="1">
        <f>82.051282051*1.17</f>
        <v>95.999999999669996</v>
      </c>
      <c r="AD82" s="4">
        <f>AB82*AC82</f>
        <v>6105.599999979012</v>
      </c>
      <c r="AH82">
        <v>78.400000000000006</v>
      </c>
      <c r="AI82" s="1">
        <f>82.051282051*1.17</f>
        <v>95.999999999669996</v>
      </c>
      <c r="AJ82" s="4">
        <f>AH82*AI82</f>
        <v>7526.3999999741281</v>
      </c>
    </row>
    <row r="83" spans="2:39">
      <c r="B83" t="s">
        <v>10</v>
      </c>
      <c r="C83" s="4" t="s">
        <v>47</v>
      </c>
      <c r="V83" s="23">
        <v>66.900000000000006</v>
      </c>
      <c r="W83" s="1">
        <f>82.051282051*1.17</f>
        <v>95.999999999669996</v>
      </c>
      <c r="X83" s="25">
        <f>V83*W83</f>
        <v>6422.3999999779235</v>
      </c>
    </row>
    <row r="84" spans="2:39">
      <c r="B84" t="s">
        <v>10</v>
      </c>
      <c r="C84" s="4" t="s">
        <v>94</v>
      </c>
    </row>
    <row r="85" spans="2:39">
      <c r="B85" t="s">
        <v>10</v>
      </c>
      <c r="C85" s="4" t="s">
        <v>124</v>
      </c>
      <c r="D85">
        <v>75.900000000000006</v>
      </c>
      <c r="E85" s="1">
        <f>70.94017094*1.17</f>
        <v>82.999999999799996</v>
      </c>
      <c r="F85" s="4">
        <f>5384.36+915.34</f>
        <v>6299.7</v>
      </c>
    </row>
    <row r="86" spans="2:39">
      <c r="B86" t="s">
        <v>10</v>
      </c>
      <c r="C86" s="4" t="s">
        <v>44</v>
      </c>
    </row>
    <row r="87" spans="2:39">
      <c r="B87" t="s">
        <v>10</v>
      </c>
      <c r="C87" s="4" t="s">
        <v>95</v>
      </c>
    </row>
    <row r="88" spans="2:39">
      <c r="B88" t="s">
        <v>10</v>
      </c>
      <c r="C88" s="4" t="s">
        <v>153</v>
      </c>
      <c r="D88">
        <v>28.8</v>
      </c>
      <c r="E88" s="1">
        <f>67.521367521*1.17</f>
        <v>78.999999999569994</v>
      </c>
      <c r="F88" s="4">
        <v>2275.1999999999998</v>
      </c>
    </row>
    <row r="89" spans="2:39">
      <c r="B89" t="s">
        <v>10</v>
      </c>
      <c r="C89" s="4" t="s">
        <v>96</v>
      </c>
    </row>
    <row r="90" spans="2:39">
      <c r="B90" t="s">
        <v>10</v>
      </c>
      <c r="C90" s="4" t="s">
        <v>99</v>
      </c>
      <c r="J90">
        <v>75</v>
      </c>
      <c r="K90" s="1">
        <f>49.572649573*1.17</f>
        <v>58.000000000409997</v>
      </c>
      <c r="L90" s="4">
        <f>3717.95+632.05</f>
        <v>4350</v>
      </c>
      <c r="V90" s="23">
        <v>75.2</v>
      </c>
      <c r="W90" s="1">
        <f>49.572649573*1.17</f>
        <v>58.000000000409997</v>
      </c>
      <c r="X90" s="25">
        <f>V90*W90</f>
        <v>4361.6000000308322</v>
      </c>
    </row>
    <row r="91" spans="2:39">
      <c r="B91" t="s">
        <v>10</v>
      </c>
      <c r="C91" s="4" t="s">
        <v>45</v>
      </c>
    </row>
    <row r="92" spans="2:39">
      <c r="B92" t="s">
        <v>10</v>
      </c>
      <c r="C92" s="4" t="s">
        <v>97</v>
      </c>
    </row>
    <row r="93" spans="2:39">
      <c r="B93" t="s">
        <v>117</v>
      </c>
      <c r="C93" s="4" t="s">
        <v>118</v>
      </c>
      <c r="V93" s="23">
        <v>78.099999999999994</v>
      </c>
      <c r="W93" s="1">
        <f>59.829059829*1.17</f>
        <v>69.999999999929997</v>
      </c>
      <c r="X93" s="25">
        <f>V93*W93</f>
        <v>5466.9999999945321</v>
      </c>
      <c r="AE93">
        <v>56</v>
      </c>
      <c r="AF93" s="1">
        <f>59.829059829*1.17</f>
        <v>69.999999999929997</v>
      </c>
      <c r="AG93" s="4">
        <f>AE93*AF93</f>
        <v>3919.9999999960801</v>
      </c>
      <c r="AK93">
        <v>73.2</v>
      </c>
      <c r="AL93" s="1">
        <f>59.829059829*1.17</f>
        <v>69.999999999929997</v>
      </c>
      <c r="AM93" s="4">
        <f>AK93*AL93</f>
        <v>5123.9999999948759</v>
      </c>
    </row>
    <row r="94" spans="2:39">
      <c r="B94" t="s">
        <v>117</v>
      </c>
      <c r="C94" s="4" t="s">
        <v>121</v>
      </c>
    </row>
    <row r="95" spans="2:39">
      <c r="B95" t="s">
        <v>117</v>
      </c>
      <c r="C95" s="4" t="s">
        <v>122</v>
      </c>
    </row>
    <row r="96" spans="2:39">
      <c r="D96" s="1"/>
      <c r="F96" s="4">
        <f>SUM(F67:F95)</f>
        <v>14990.8</v>
      </c>
      <c r="I96" s="4">
        <f>SUM(H67:I95)</f>
        <v>0</v>
      </c>
      <c r="L96" s="4">
        <f>SUM(L67:L95)</f>
        <v>16145.5</v>
      </c>
      <c r="M96" s="4">
        <f t="shared" ref="M96:R96" si="0">SUM(M67:M95)</f>
        <v>83.4</v>
      </c>
      <c r="N96" s="18">
        <f t="shared" si="0"/>
        <v>82.999999999799996</v>
      </c>
      <c r="O96" s="4">
        <f t="shared" si="0"/>
        <v>6922.1999999833206</v>
      </c>
      <c r="P96" s="4">
        <f t="shared" si="0"/>
        <v>163.30000000000001</v>
      </c>
      <c r="Q96" s="33"/>
      <c r="R96" s="25">
        <f t="shared" si="0"/>
        <v>14589.999999956977</v>
      </c>
      <c r="U96" s="4">
        <f>SUM(U67:U95)</f>
        <v>4494.3599999731669</v>
      </c>
      <c r="X96" s="25">
        <f>SUM(X67:X95)</f>
        <v>34928.599999991609</v>
      </c>
      <c r="AD96" s="4">
        <f>SUM(AD67:AD95)</f>
        <v>25054.599999885766</v>
      </c>
      <c r="AG96" s="4">
        <f>SUM(AG67:AG95)</f>
        <v>13140.299999969649</v>
      </c>
      <c r="AJ96" s="4">
        <f>SUM(AJ67:AJ95)</f>
        <v>25573.699999882007</v>
      </c>
      <c r="AM96" s="4">
        <f>SUM(AM80:AM95)</f>
        <v>8762.3999999823682</v>
      </c>
    </row>
    <row r="97" spans="1:39" ht="6.75" customHeight="1"/>
    <row r="98" spans="1:39" s="10" customFormat="1">
      <c r="A98" s="10" t="s">
        <v>12</v>
      </c>
      <c r="B98" s="10" t="s">
        <v>13</v>
      </c>
      <c r="C98" s="11" t="s">
        <v>14</v>
      </c>
      <c r="E98" s="15"/>
      <c r="F98" s="11"/>
      <c r="H98" s="15"/>
      <c r="I98" s="11"/>
      <c r="K98" s="15"/>
      <c r="L98" s="11"/>
      <c r="N98" s="15"/>
      <c r="O98" s="11"/>
      <c r="Q98" s="29"/>
      <c r="R98" s="26"/>
      <c r="T98" s="15"/>
      <c r="U98" s="11"/>
      <c r="V98" s="21"/>
      <c r="W98" s="15"/>
      <c r="X98" s="26"/>
      <c r="Z98" s="15"/>
      <c r="AA98" s="11"/>
      <c r="AC98" s="15"/>
      <c r="AD98" s="11"/>
      <c r="AF98" s="15"/>
      <c r="AG98" s="11"/>
      <c r="AI98" s="15"/>
      <c r="AJ98" s="11"/>
      <c r="AL98" s="15"/>
      <c r="AM98" s="11"/>
    </row>
    <row r="99" spans="1:39" s="13" customFormat="1">
      <c r="C99" s="11" t="s">
        <v>252</v>
      </c>
      <c r="E99" s="16"/>
      <c r="F99" s="4"/>
      <c r="H99" s="16"/>
      <c r="I99" s="4"/>
      <c r="K99" s="16"/>
      <c r="L99" s="4"/>
      <c r="N99" s="16"/>
      <c r="O99" s="4"/>
      <c r="Q99" s="30"/>
      <c r="R99" s="25"/>
      <c r="T99" s="16"/>
      <c r="U99" s="4"/>
      <c r="V99" s="22"/>
      <c r="W99" s="16"/>
      <c r="X99" s="25"/>
      <c r="Z99" s="16"/>
      <c r="AA99" s="4"/>
      <c r="AC99" s="16"/>
      <c r="AD99" s="4"/>
      <c r="AE99" s="13">
        <v>387</v>
      </c>
      <c r="AF99" s="16">
        <f>50.427350427*1.17</f>
        <v>58.999999999589996</v>
      </c>
      <c r="AG99" s="4">
        <f>AE99*AF99</f>
        <v>22832.99999984133</v>
      </c>
      <c r="AH99" s="13">
        <v>928.8</v>
      </c>
      <c r="AI99" s="16">
        <f>50.427350427*1.17</f>
        <v>58.999999999589996</v>
      </c>
      <c r="AJ99" s="4">
        <f>AH99*AI99</f>
        <v>54799.199999619188</v>
      </c>
      <c r="AK99" s="13">
        <v>580.5</v>
      </c>
      <c r="AL99" s="16">
        <f>50.427350427*1.17</f>
        <v>58.999999999589996</v>
      </c>
      <c r="AM99" s="4">
        <f>AK99*AL99</f>
        <v>34249.499999761989</v>
      </c>
    </row>
    <row r="100" spans="1:39">
      <c r="C100" s="4" t="s">
        <v>32</v>
      </c>
      <c r="M100">
        <v>1050</v>
      </c>
      <c r="N100" s="1">
        <f>51.282051282*1.17</f>
        <v>59.999999999939995</v>
      </c>
      <c r="O100" s="4">
        <f>M100*N100</f>
        <v>62999.999999936997</v>
      </c>
      <c r="P100">
        <v>940.6</v>
      </c>
      <c r="Q100" s="31">
        <f>51.282051282*1.17</f>
        <v>59.999999999939995</v>
      </c>
      <c r="R100" s="25">
        <f>P100*Q100</f>
        <v>56435.99999994356</v>
      </c>
      <c r="S100">
        <v>1049.3</v>
      </c>
      <c r="T100" s="1">
        <f>51.282051282*1.17</f>
        <v>59.999999999939995</v>
      </c>
      <c r="U100" s="4">
        <f>S100*T100</f>
        <v>62957.999999937034</v>
      </c>
      <c r="V100" s="23">
        <f>342+517.4</f>
        <v>859.4</v>
      </c>
      <c r="W100" s="1" t="s">
        <v>215</v>
      </c>
      <c r="X100" s="25">
        <f>17538.46+2981.54+28302.22+4811.38</f>
        <v>53633.599999999999</v>
      </c>
      <c r="Y100">
        <v>186</v>
      </c>
      <c r="Z100" s="1">
        <f>54.700854701*1.17</f>
        <v>64.00000000016999</v>
      </c>
      <c r="AA100" s="4">
        <f>Y100*Z100</f>
        <v>11904.000000031618</v>
      </c>
      <c r="AB100">
        <v>1022.6</v>
      </c>
      <c r="AC100" s="1">
        <f>42.735042735*1.17</f>
        <v>49.999999999949999</v>
      </c>
      <c r="AD100" s="4">
        <f>AB100*AC100</f>
        <v>51129.999999948872</v>
      </c>
    </row>
    <row r="101" spans="1:39">
      <c r="C101" s="4" t="s">
        <v>174</v>
      </c>
      <c r="G101">
        <v>238.8</v>
      </c>
      <c r="H101" s="1">
        <f>47.008547009*1.17</f>
        <v>55.000000000529994</v>
      </c>
      <c r="I101" s="4">
        <v>13134</v>
      </c>
      <c r="Y101">
        <v>350</v>
      </c>
      <c r="Z101" s="1">
        <v>50</v>
      </c>
      <c r="AA101" s="4">
        <f>Y101*Z101</f>
        <v>17500</v>
      </c>
      <c r="AE101">
        <v>336.2</v>
      </c>
      <c r="AF101" s="1">
        <f>42.735042735*1.17</f>
        <v>49.999999999949999</v>
      </c>
      <c r="AG101" s="4">
        <f>AE101*AF101</f>
        <v>16809.999999983189</v>
      </c>
      <c r="AH101">
        <v>39.799999999999997</v>
      </c>
      <c r="AI101" s="1">
        <f>42.735042735*1.17</f>
        <v>49.999999999949999</v>
      </c>
      <c r="AJ101" s="4">
        <f>AH101*AI101</f>
        <v>1989.9999999980098</v>
      </c>
    </row>
    <row r="102" spans="1:39">
      <c r="C102" s="4" t="s">
        <v>33</v>
      </c>
    </row>
    <row r="103" spans="1:39">
      <c r="C103" s="4" t="s">
        <v>56</v>
      </c>
      <c r="V103" s="23">
        <v>469.6</v>
      </c>
      <c r="W103" s="1">
        <f>32.478632479*1.17</f>
        <v>38.000000000429992</v>
      </c>
      <c r="X103" s="25">
        <f>V103*W103</f>
        <v>17844.800000201925</v>
      </c>
    </row>
    <row r="104" spans="1:39">
      <c r="B104" t="s">
        <v>238</v>
      </c>
      <c r="C104" s="4" t="s">
        <v>239</v>
      </c>
      <c r="AB104">
        <v>5.97</v>
      </c>
      <c r="AC104" s="1">
        <f>940.17094017*1.17</f>
        <v>1099.9999999989</v>
      </c>
      <c r="AD104" s="4">
        <f>AB104*AC104</f>
        <v>6566.9999999934325</v>
      </c>
    </row>
    <row r="105" spans="1:39">
      <c r="D105" s="1"/>
    </row>
    <row r="106" spans="1:39">
      <c r="X106" s="25">
        <f>SUM(X98:X105)</f>
        <v>71478.400000201917</v>
      </c>
      <c r="AA106" s="4">
        <f>SUM(AA100:AA105)</f>
        <v>29404.000000031618</v>
      </c>
      <c r="AD106" s="4">
        <f>SUM(AD100:AD105)</f>
        <v>57696.999999942302</v>
      </c>
      <c r="AG106" s="4">
        <f>SUM(AG98:AG105)</f>
        <v>39642.999999824518</v>
      </c>
      <c r="AJ106" s="4">
        <f>SUM(AJ98:AJ105)</f>
        <v>56789.199999617194</v>
      </c>
      <c r="AM106" s="4">
        <f>SUM(AM99:AM105)</f>
        <v>34249.499999761989</v>
      </c>
    </row>
    <row r="107" spans="1:39" s="10" customFormat="1">
      <c r="A107" s="10" t="s">
        <v>15</v>
      </c>
      <c r="B107" s="10" t="s">
        <v>16</v>
      </c>
      <c r="C107" s="11" t="s">
        <v>17</v>
      </c>
      <c r="E107" s="15"/>
      <c r="F107" s="11"/>
      <c r="H107" s="15"/>
      <c r="I107" s="11"/>
      <c r="K107" s="15"/>
      <c r="L107" s="11"/>
      <c r="N107" s="15"/>
      <c r="O107" s="11"/>
      <c r="Q107" s="29"/>
      <c r="R107" s="26"/>
      <c r="T107" s="15"/>
      <c r="U107" s="11"/>
      <c r="V107" s="21"/>
      <c r="W107" s="15"/>
      <c r="X107" s="26"/>
      <c r="Z107" s="15"/>
      <c r="AA107" s="11"/>
      <c r="AC107" s="15"/>
      <c r="AD107" s="11"/>
      <c r="AF107" s="15"/>
      <c r="AG107" s="11"/>
      <c r="AI107" s="15"/>
      <c r="AJ107" s="11"/>
      <c r="AL107" s="15"/>
      <c r="AM107" s="11"/>
    </row>
    <row r="108" spans="1:39">
      <c r="B108" t="s">
        <v>16</v>
      </c>
      <c r="C108" s="4" t="s">
        <v>161</v>
      </c>
      <c r="G108">
        <v>64.099999999999994</v>
      </c>
      <c r="H108" s="1">
        <v>43</v>
      </c>
      <c r="I108" s="4">
        <v>2756.3</v>
      </c>
      <c r="AE108">
        <v>1039.8</v>
      </c>
      <c r="AF108" s="1">
        <f>33.3333333*1.17</f>
        <v>38.999999961</v>
      </c>
      <c r="AG108" s="4">
        <f>AE108*AF108</f>
        <v>40552.199959447797</v>
      </c>
    </row>
    <row r="109" spans="1:39">
      <c r="B109" t="s">
        <v>16</v>
      </c>
      <c r="C109" s="4" t="s">
        <v>18</v>
      </c>
      <c r="J109">
        <v>161.6</v>
      </c>
      <c r="K109" s="1">
        <f>33.33333*1.17</f>
        <v>38.999996099999997</v>
      </c>
      <c r="L109" s="4">
        <v>6302.4</v>
      </c>
    </row>
    <row r="110" spans="1:39">
      <c r="B110" t="s">
        <v>16</v>
      </c>
      <c r="C110" s="4" t="s">
        <v>229</v>
      </c>
      <c r="Y110">
        <v>39.1</v>
      </c>
      <c r="Z110" s="1">
        <f>33.333333333*1.17</f>
        <v>38.999999999609997</v>
      </c>
      <c r="AA110" s="4">
        <f>Y110*Z110</f>
        <v>1524.899999984751</v>
      </c>
      <c r="AH110">
        <v>79.099999999999994</v>
      </c>
      <c r="AI110" s="1">
        <v>39</v>
      </c>
      <c r="AJ110" s="4">
        <f>AH110*AI110</f>
        <v>3084.8999999999996</v>
      </c>
    </row>
    <row r="111" spans="1:39">
      <c r="B111" t="s">
        <v>16</v>
      </c>
      <c r="C111" s="4" t="s">
        <v>19</v>
      </c>
      <c r="D111">
        <v>77.3</v>
      </c>
      <c r="E111" s="1">
        <f>33.3333333333*1.17</f>
        <v>38.999999999960991</v>
      </c>
      <c r="F111" s="4">
        <v>3014.7</v>
      </c>
      <c r="G111">
        <v>946.7</v>
      </c>
      <c r="H111" s="1">
        <v>39</v>
      </c>
      <c r="I111" s="4">
        <v>36921.300000000003</v>
      </c>
      <c r="J111" s="8">
        <f>1048+81.3</f>
        <v>1129.3</v>
      </c>
      <c r="K111" s="14">
        <v>39</v>
      </c>
      <c r="L111" s="12">
        <f>40872+2710+460.7</f>
        <v>44042.7</v>
      </c>
    </row>
    <row r="112" spans="1:39">
      <c r="B112" t="s">
        <v>16</v>
      </c>
      <c r="C112" s="4" t="s">
        <v>105</v>
      </c>
      <c r="P112">
        <f>81.5+1035</f>
        <v>1116.5</v>
      </c>
      <c r="Q112" s="31">
        <f>33.333333*1.17</f>
        <v>38.999999610000003</v>
      </c>
      <c r="R112" s="25">
        <f>P112*Q112</f>
        <v>43543.499564565005</v>
      </c>
      <c r="V112" s="23">
        <v>483.3</v>
      </c>
      <c r="W112" s="1">
        <v>39</v>
      </c>
      <c r="X112" s="25">
        <f>V112*W112</f>
        <v>18848.7</v>
      </c>
      <c r="Y112">
        <v>951.4</v>
      </c>
      <c r="Z112" s="1">
        <f>33.33333333*1.17</f>
        <v>38.999999996100001</v>
      </c>
      <c r="AA112" s="4">
        <f>Y112*Z112</f>
        <v>37104.599996289544</v>
      </c>
      <c r="AB112">
        <v>316</v>
      </c>
      <c r="AC112" s="1">
        <v>39</v>
      </c>
      <c r="AD112" s="4">
        <f>AB112*AC112</f>
        <v>12324</v>
      </c>
      <c r="AE112">
        <v>401</v>
      </c>
      <c r="AF112" s="1">
        <v>39</v>
      </c>
      <c r="AG112" s="4">
        <f>AE112*AF112</f>
        <v>15639</v>
      </c>
      <c r="AH112" s="8">
        <v>398.6</v>
      </c>
      <c r="AI112" s="1">
        <v>39</v>
      </c>
      <c r="AJ112" s="4">
        <f>AH112*AI112</f>
        <v>15545.400000000001</v>
      </c>
      <c r="AK112" s="8">
        <v>800.2</v>
      </c>
      <c r="AL112" s="1">
        <f>39</f>
        <v>39</v>
      </c>
      <c r="AM112" s="4">
        <v>31207.8</v>
      </c>
    </row>
    <row r="113" spans="1:39">
      <c r="B113" t="s">
        <v>20</v>
      </c>
      <c r="C113" s="4" t="s">
        <v>21</v>
      </c>
    </row>
    <row r="114" spans="1:39">
      <c r="B114" t="s">
        <v>20</v>
      </c>
      <c r="C114" s="4" t="s">
        <v>58</v>
      </c>
    </row>
    <row r="115" spans="1:39">
      <c r="B115" t="s">
        <v>16</v>
      </c>
      <c r="C115" s="4" t="s">
        <v>34</v>
      </c>
    </row>
    <row r="116" spans="1:39">
      <c r="B116" t="s">
        <v>20</v>
      </c>
      <c r="C116" s="4" t="s">
        <v>35</v>
      </c>
    </row>
    <row r="117" spans="1:39">
      <c r="B117" t="s">
        <v>16</v>
      </c>
      <c r="C117" s="4" t="s">
        <v>35</v>
      </c>
      <c r="J117">
        <v>324.2</v>
      </c>
      <c r="K117" s="1">
        <v>39</v>
      </c>
      <c r="L117" s="4">
        <f>10806.67+1837.13</f>
        <v>12643.8</v>
      </c>
      <c r="Y117">
        <v>652</v>
      </c>
      <c r="Z117" s="1">
        <f>33.333333*1.17</f>
        <v>38.999999610000003</v>
      </c>
      <c r="AA117" s="4">
        <f>Y117*Z117</f>
        <v>25427.999745720001</v>
      </c>
      <c r="AE117">
        <v>157.5</v>
      </c>
      <c r="AF117" s="1">
        <v>39</v>
      </c>
      <c r="AG117" s="4">
        <f>AE117*AF117</f>
        <v>6142.5</v>
      </c>
      <c r="AK117">
        <v>235.6</v>
      </c>
      <c r="AL117" s="1">
        <v>39</v>
      </c>
      <c r="AM117" s="4">
        <f>AK117*AL117</f>
        <v>9188.4</v>
      </c>
    </row>
    <row r="118" spans="1:39">
      <c r="B118" t="s">
        <v>20</v>
      </c>
      <c r="C118" s="4" t="s">
        <v>104</v>
      </c>
    </row>
    <row r="119" spans="1:39">
      <c r="B119" t="s">
        <v>16</v>
      </c>
      <c r="C119" s="4" t="s">
        <v>104</v>
      </c>
      <c r="P119">
        <v>326.8</v>
      </c>
      <c r="Q119" s="31">
        <f>33.3333333*1.17</f>
        <v>38.999999961</v>
      </c>
      <c r="R119" s="25">
        <f>P119*Q119</f>
        <v>12745.1999872548</v>
      </c>
      <c r="S119">
        <v>322.10000000000002</v>
      </c>
      <c r="T119" s="1">
        <f>33.3333333*1.17</f>
        <v>38.999999961</v>
      </c>
      <c r="U119" s="4">
        <f>S119*T119</f>
        <v>12561.899987438101</v>
      </c>
      <c r="AE119">
        <v>80.900000000000006</v>
      </c>
      <c r="AF119" s="1">
        <v>39</v>
      </c>
      <c r="AG119" s="4">
        <f>AE119*AF119</f>
        <v>3155.1000000000004</v>
      </c>
    </row>
    <row r="120" spans="1:39">
      <c r="B120" t="s">
        <v>16</v>
      </c>
      <c r="C120" s="4" t="s">
        <v>186</v>
      </c>
      <c r="M120">
        <v>40.299999999999997</v>
      </c>
      <c r="N120" s="1">
        <f>33.333333*1.17</f>
        <v>38.999999610000003</v>
      </c>
      <c r="O120" s="4">
        <f>M120*N120</f>
        <v>1571.699984283</v>
      </c>
    </row>
    <row r="121" spans="1:39">
      <c r="B121" t="s">
        <v>16</v>
      </c>
      <c r="C121" s="4" t="s">
        <v>86</v>
      </c>
    </row>
    <row r="122" spans="1:39">
      <c r="B122" t="s">
        <v>16</v>
      </c>
      <c r="C122" s="4" t="s">
        <v>57</v>
      </c>
    </row>
    <row r="123" spans="1:39">
      <c r="B123" t="s">
        <v>20</v>
      </c>
      <c r="C123" s="4" t="s">
        <v>57</v>
      </c>
    </row>
    <row r="124" spans="1:39">
      <c r="B124" t="s">
        <v>16</v>
      </c>
      <c r="C124" s="4" t="s">
        <v>85</v>
      </c>
    </row>
    <row r="125" spans="1:39" s="5" customFormat="1">
      <c r="C125" s="7"/>
      <c r="D125" s="6"/>
      <c r="E125" s="17"/>
      <c r="F125" s="7">
        <f>SUM(F107:F124)</f>
        <v>3014.7</v>
      </c>
      <c r="H125" s="17"/>
      <c r="I125" s="7">
        <f>SUM(I107:I124)</f>
        <v>39677.600000000006</v>
      </c>
      <c r="K125" s="17"/>
      <c r="L125" s="7">
        <f>SUM(L107:L124)</f>
        <v>62988.899999999994</v>
      </c>
      <c r="N125" s="17"/>
      <c r="O125" s="7">
        <f>SUM(O107:O124)</f>
        <v>1571.699984283</v>
      </c>
      <c r="Q125" s="32"/>
      <c r="R125" s="9">
        <f>SUM(R107:R124)</f>
        <v>56288.699551819809</v>
      </c>
      <c r="T125" s="17"/>
      <c r="U125" s="7"/>
      <c r="V125" s="24"/>
      <c r="W125" s="17"/>
      <c r="X125" s="9"/>
      <c r="Z125" s="17"/>
      <c r="AA125" s="7"/>
      <c r="AC125" s="17"/>
      <c r="AD125" s="7"/>
      <c r="AF125" s="17"/>
      <c r="AG125" s="7">
        <f>SUM(AG107:AG124)</f>
        <v>65488.799959447795</v>
      </c>
      <c r="AI125" s="17"/>
      <c r="AJ125" s="7"/>
      <c r="AL125" s="17"/>
      <c r="AM125" s="7"/>
    </row>
    <row r="126" spans="1:39">
      <c r="AA126" s="4">
        <f>SUM(AA107:AA125)</f>
        <v>64057.499741994296</v>
      </c>
    </row>
    <row r="127" spans="1:39" s="10" customFormat="1">
      <c r="A127" s="10" t="s">
        <v>22</v>
      </c>
      <c r="B127" s="10" t="s">
        <v>23</v>
      </c>
      <c r="C127" s="11" t="s">
        <v>24</v>
      </c>
      <c r="D127" s="10">
        <f>158.4+160.9+162.9+158.8</f>
        <v>641</v>
      </c>
      <c r="E127" s="15">
        <f>13.675213675*1.17</f>
        <v>15.999999999749999</v>
      </c>
      <c r="F127" s="11">
        <f>5108.8+5147.2</f>
        <v>10256</v>
      </c>
      <c r="H127" s="15"/>
      <c r="I127" s="11"/>
      <c r="J127" s="10">
        <f>160.8+163.4</f>
        <v>324.20000000000005</v>
      </c>
      <c r="K127" s="15">
        <f>13.675213675*1.17</f>
        <v>15.999999999749999</v>
      </c>
      <c r="L127" s="11">
        <f>J127*K127</f>
        <v>5187.1999999189502</v>
      </c>
      <c r="N127" s="15"/>
      <c r="O127" s="11"/>
      <c r="Q127" s="29"/>
      <c r="R127" s="26"/>
      <c r="S127" s="10">
        <v>68</v>
      </c>
      <c r="T127" s="15">
        <f>13.675213675*1.17</f>
        <v>15.999999999749999</v>
      </c>
      <c r="U127" s="11">
        <f>S127*T127</f>
        <v>1087.999999983</v>
      </c>
      <c r="V127" s="21"/>
      <c r="W127" s="15"/>
      <c r="X127" s="26"/>
      <c r="Z127" s="15"/>
      <c r="AA127" s="11"/>
      <c r="AB127" s="10">
        <f>163.7+163.1+81.3+81.2</f>
        <v>489.29999999999995</v>
      </c>
      <c r="AC127" s="15">
        <f>13.675213675*1.17</f>
        <v>15.999999999749999</v>
      </c>
      <c r="AD127" s="11">
        <f>AB127*AC127</f>
        <v>7828.7999998776741</v>
      </c>
      <c r="AF127" s="15"/>
      <c r="AG127" s="11"/>
      <c r="AH127" s="10">
        <f>79.5+78</f>
        <v>157.5</v>
      </c>
      <c r="AI127" s="15">
        <f>13.675213675*1.17</f>
        <v>15.999999999749999</v>
      </c>
      <c r="AJ127" s="11">
        <f>AH127*AI127</f>
        <v>2519.9999999606248</v>
      </c>
      <c r="AL127" s="15"/>
      <c r="AM127" s="11"/>
    </row>
    <row r="128" spans="1:39">
      <c r="B128" t="s">
        <v>129</v>
      </c>
      <c r="C128" s="4" t="s">
        <v>24</v>
      </c>
    </row>
    <row r="129" spans="1:39">
      <c r="B129" t="s">
        <v>53</v>
      </c>
      <c r="C129" s="4" t="s">
        <v>24</v>
      </c>
      <c r="AE129">
        <f>160+163.9+165.5+162.6</f>
        <v>652</v>
      </c>
      <c r="AF129" s="1">
        <f>13.675213675*1.17</f>
        <v>15.999999999749999</v>
      </c>
      <c r="AG129" s="4">
        <f>AE129*AF129</f>
        <v>10431.999999836999</v>
      </c>
    </row>
    <row r="130" spans="1:39">
      <c r="B130" t="s">
        <v>53</v>
      </c>
      <c r="C130" s="4" t="s">
        <v>51</v>
      </c>
    </row>
    <row r="131" spans="1:39">
      <c r="B131" t="s">
        <v>53</v>
      </c>
      <c r="C131" s="4" t="s">
        <v>52</v>
      </c>
    </row>
    <row r="132" spans="1:39">
      <c r="B132" t="s">
        <v>53</v>
      </c>
      <c r="C132" s="4" t="s">
        <v>54</v>
      </c>
    </row>
    <row r="133" spans="1:39">
      <c r="B133" t="s">
        <v>53</v>
      </c>
      <c r="C133" s="4" t="s">
        <v>69</v>
      </c>
    </row>
    <row r="134" spans="1:39">
      <c r="B134" t="s">
        <v>53</v>
      </c>
      <c r="C134" s="4" t="s">
        <v>70</v>
      </c>
    </row>
    <row r="135" spans="1:39">
      <c r="B135" t="s">
        <v>53</v>
      </c>
      <c r="C135" s="4" t="s">
        <v>71</v>
      </c>
    </row>
    <row r="136" spans="1:39">
      <c r="B136" t="s">
        <v>53</v>
      </c>
      <c r="C136" s="4" t="s">
        <v>72</v>
      </c>
    </row>
    <row r="137" spans="1:39">
      <c r="B137" t="s">
        <v>79</v>
      </c>
      <c r="C137" s="4" t="s">
        <v>80</v>
      </c>
    </row>
    <row r="138" spans="1:39">
      <c r="D138" s="1"/>
    </row>
    <row r="140" spans="1:39" s="10" customFormat="1">
      <c r="A140" s="10" t="s">
        <v>26</v>
      </c>
      <c r="B140" s="10" t="s">
        <v>27</v>
      </c>
      <c r="C140" s="11" t="s">
        <v>28</v>
      </c>
      <c r="E140" s="15"/>
      <c r="F140" s="11"/>
      <c r="H140" s="15"/>
      <c r="I140" s="11"/>
      <c r="K140" s="15"/>
      <c r="L140" s="11"/>
      <c r="N140" s="15"/>
      <c r="O140" s="11"/>
      <c r="Q140" s="29"/>
      <c r="R140" s="26"/>
      <c r="T140" s="15"/>
      <c r="U140" s="11"/>
      <c r="V140" s="21"/>
      <c r="W140" s="15"/>
      <c r="X140" s="26"/>
      <c r="Z140" s="15"/>
      <c r="AA140" s="11"/>
      <c r="AC140" s="15"/>
      <c r="AD140" s="11"/>
      <c r="AF140" s="15"/>
      <c r="AG140" s="11"/>
      <c r="AI140" s="15"/>
      <c r="AJ140" s="11"/>
      <c r="AL140" s="15"/>
      <c r="AM140" s="11"/>
    </row>
    <row r="141" spans="1:39">
      <c r="B141" t="s">
        <v>27</v>
      </c>
      <c r="C141" s="4" t="s">
        <v>29</v>
      </c>
    </row>
    <row r="142" spans="1:39">
      <c r="B142" t="s">
        <v>27</v>
      </c>
      <c r="C142" s="4" t="s">
        <v>112</v>
      </c>
      <c r="V142" s="23">
        <v>469.6</v>
      </c>
      <c r="W142" s="1">
        <f>10.256410256*1.17</f>
        <v>11.99999999952</v>
      </c>
      <c r="X142" s="25">
        <f>V142*W142</f>
        <v>5635.1999997745925</v>
      </c>
    </row>
    <row r="143" spans="1:39">
      <c r="B143" t="s">
        <v>27</v>
      </c>
      <c r="C143" s="4" t="s">
        <v>30</v>
      </c>
      <c r="M143">
        <v>464.4</v>
      </c>
      <c r="N143" s="1">
        <f>12.820512821*1.17</f>
        <v>15.000000000569999</v>
      </c>
      <c r="O143" s="4">
        <f>M143*N143</f>
        <v>6966.0000002647075</v>
      </c>
    </row>
    <row r="144" spans="1:39">
      <c r="B144" t="s">
        <v>27</v>
      </c>
      <c r="C144" s="4" t="s">
        <v>87</v>
      </c>
      <c r="D144">
        <v>461.4</v>
      </c>
      <c r="E144" s="1">
        <f>12.820512821*1.17</f>
        <v>15.000000000569999</v>
      </c>
      <c r="F144" s="4">
        <v>6921</v>
      </c>
    </row>
    <row r="145" spans="2:39">
      <c r="B145" t="s">
        <v>27</v>
      </c>
      <c r="C145" s="4" t="s">
        <v>40</v>
      </c>
      <c r="G145">
        <v>78.7</v>
      </c>
      <c r="H145" s="1">
        <v>10</v>
      </c>
      <c r="I145" s="4">
        <v>787</v>
      </c>
      <c r="P145">
        <v>167.2</v>
      </c>
      <c r="Q145" s="31">
        <f>8.547008547*1.17</f>
        <v>9.9999999999900009</v>
      </c>
      <c r="R145" s="25">
        <v>1672</v>
      </c>
      <c r="V145" s="23">
        <v>337.6</v>
      </c>
      <c r="W145" s="1">
        <f>8.547008547*1.17</f>
        <v>9.9999999999900009</v>
      </c>
      <c r="X145" s="25">
        <f>V145*W145</f>
        <v>3375.9999999966244</v>
      </c>
      <c r="Y145">
        <v>80.900000000000006</v>
      </c>
      <c r="Z145" s="1">
        <v>10</v>
      </c>
      <c r="AA145" s="4">
        <v>809</v>
      </c>
      <c r="AH145">
        <f>80.8+79</f>
        <v>159.80000000000001</v>
      </c>
      <c r="AI145" s="1">
        <v>10</v>
      </c>
      <c r="AJ145" s="4">
        <v>808</v>
      </c>
    </row>
    <row r="146" spans="2:39">
      <c r="B146" t="s">
        <v>27</v>
      </c>
      <c r="C146" s="4" t="s">
        <v>31</v>
      </c>
      <c r="P146">
        <v>663.2</v>
      </c>
      <c r="Q146" s="31">
        <v>10</v>
      </c>
      <c r="R146" s="25">
        <v>6632</v>
      </c>
      <c r="AH146">
        <v>79.8</v>
      </c>
      <c r="AI146" s="1">
        <f>8.547008547*1.17</f>
        <v>9.9999999999900009</v>
      </c>
      <c r="AJ146" s="4">
        <f>AH146*AI146</f>
        <v>797.99999999920203</v>
      </c>
    </row>
    <row r="147" spans="2:39">
      <c r="B147" t="s">
        <v>27</v>
      </c>
      <c r="C147" s="4" t="s">
        <v>38</v>
      </c>
      <c r="G147">
        <v>787.5</v>
      </c>
      <c r="H147" s="1">
        <f>8.547008547*1.17</f>
        <v>9.9999999999900009</v>
      </c>
      <c r="I147" s="4">
        <f>6730.77+1144.23</f>
        <v>7875</v>
      </c>
      <c r="J147">
        <v>488</v>
      </c>
      <c r="K147" s="1">
        <v>10</v>
      </c>
      <c r="L147" s="4">
        <v>4880</v>
      </c>
      <c r="Y147">
        <f>472</f>
        <v>472</v>
      </c>
      <c r="Z147" s="1">
        <f>8.547008547*1.17</f>
        <v>9.9999999999900009</v>
      </c>
      <c r="AA147" s="4">
        <f>Y147*Z147</f>
        <v>4719.9999999952806</v>
      </c>
      <c r="AE147">
        <v>477.2</v>
      </c>
      <c r="AF147" s="1">
        <v>10</v>
      </c>
      <c r="AG147" s="4">
        <f>AE147*AF147</f>
        <v>4772</v>
      </c>
      <c r="AH147">
        <v>322</v>
      </c>
      <c r="AI147" s="1">
        <v>10</v>
      </c>
      <c r="AJ147" s="4">
        <v>3220</v>
      </c>
    </row>
    <row r="148" spans="2:39">
      <c r="B148" t="s">
        <v>27</v>
      </c>
      <c r="C148" s="4" t="s">
        <v>83</v>
      </c>
      <c r="AG148" s="4">
        <f t="shared" ref="AG148:AG152" si="1">AE148*AF148</f>
        <v>0</v>
      </c>
    </row>
    <row r="149" spans="2:39">
      <c r="B149" t="s">
        <v>27</v>
      </c>
      <c r="C149" s="4" t="s">
        <v>143</v>
      </c>
      <c r="AG149" s="4">
        <f t="shared" si="1"/>
        <v>0</v>
      </c>
    </row>
    <row r="150" spans="2:39">
      <c r="B150" t="s">
        <v>27</v>
      </c>
      <c r="C150" s="4" t="s">
        <v>81</v>
      </c>
      <c r="J150">
        <f>163.8+161.2</f>
        <v>325</v>
      </c>
      <c r="K150" s="1">
        <v>10</v>
      </c>
      <c r="L150" s="4">
        <f>1638+1612</f>
        <v>3250</v>
      </c>
      <c r="P150">
        <v>160.80000000000001</v>
      </c>
      <c r="Q150" s="31">
        <f>8.547008547*1.17</f>
        <v>9.9999999999900009</v>
      </c>
      <c r="R150" s="25">
        <v>1608</v>
      </c>
      <c r="S150">
        <v>169</v>
      </c>
      <c r="T150" s="1">
        <v>10</v>
      </c>
      <c r="U150" s="4">
        <v>1690</v>
      </c>
      <c r="Y150">
        <f>232.6</f>
        <v>232.6</v>
      </c>
      <c r="Z150" s="1">
        <f>10</f>
        <v>10</v>
      </c>
      <c r="AA150" s="4">
        <f>Y150*Z150</f>
        <v>2326</v>
      </c>
      <c r="AG150" s="4">
        <f t="shared" si="1"/>
        <v>0</v>
      </c>
    </row>
    <row r="151" spans="2:39">
      <c r="B151" t="s">
        <v>27</v>
      </c>
      <c r="C151" s="4" t="s">
        <v>147</v>
      </c>
      <c r="J151">
        <v>322.89999999999998</v>
      </c>
      <c r="K151" s="1">
        <v>10</v>
      </c>
      <c r="L151" s="4">
        <v>3229</v>
      </c>
      <c r="P151">
        <v>636.29999999999995</v>
      </c>
      <c r="Q151" s="31">
        <f>8.547008547*1.17</f>
        <v>9.9999999999900009</v>
      </c>
      <c r="R151" s="25">
        <v>6363</v>
      </c>
      <c r="S151">
        <v>335.7</v>
      </c>
      <c r="T151" s="1">
        <v>10</v>
      </c>
      <c r="U151" s="4">
        <v>3357</v>
      </c>
      <c r="Y151">
        <v>565.5</v>
      </c>
      <c r="Z151" s="1">
        <v>10</v>
      </c>
      <c r="AA151" s="4">
        <v>5655</v>
      </c>
      <c r="AE151">
        <v>479.1</v>
      </c>
      <c r="AF151" s="1">
        <v>10</v>
      </c>
      <c r="AG151" s="4">
        <f t="shared" si="1"/>
        <v>4791</v>
      </c>
      <c r="AK151">
        <v>398.6</v>
      </c>
      <c r="AL151" s="1">
        <v>10</v>
      </c>
      <c r="AM151" s="4">
        <v>3986</v>
      </c>
    </row>
    <row r="152" spans="2:39">
      <c r="B152" t="s">
        <v>27</v>
      </c>
      <c r="C152" s="4" t="s">
        <v>139</v>
      </c>
      <c r="M152">
        <v>165.3</v>
      </c>
      <c r="N152" s="1">
        <f>8.547008547*1.17</f>
        <v>9.9999999999900009</v>
      </c>
      <c r="O152" s="4">
        <f>M152*N152</f>
        <v>1652.9999999983472</v>
      </c>
      <c r="S152">
        <v>78.400000000000006</v>
      </c>
      <c r="T152" s="1">
        <v>10</v>
      </c>
      <c r="U152" s="4">
        <v>784</v>
      </c>
      <c r="Y152">
        <f>69.5+80</f>
        <v>149.5</v>
      </c>
      <c r="Z152" s="1">
        <v>10</v>
      </c>
      <c r="AA152" s="4">
        <f>Y152*Z152</f>
        <v>1495</v>
      </c>
      <c r="AB152">
        <v>158.80000000000001</v>
      </c>
      <c r="AC152" s="1">
        <f>8.547008547*1.17</f>
        <v>9.9999999999900009</v>
      </c>
      <c r="AD152" s="4">
        <v>1588</v>
      </c>
      <c r="AE152" s="8">
        <v>80.099999999999994</v>
      </c>
      <c r="AF152" s="1">
        <v>10</v>
      </c>
      <c r="AG152" s="4">
        <f t="shared" si="1"/>
        <v>801</v>
      </c>
    </row>
    <row r="153" spans="2:39">
      <c r="B153" t="s">
        <v>27</v>
      </c>
      <c r="C153" s="4" t="s">
        <v>212</v>
      </c>
      <c r="S153">
        <v>79.3</v>
      </c>
      <c r="T153" s="1">
        <v>10</v>
      </c>
      <c r="U153" s="4">
        <v>793</v>
      </c>
    </row>
    <row r="154" spans="2:39">
      <c r="B154" t="s">
        <v>27</v>
      </c>
      <c r="C154" s="4" t="s">
        <v>39</v>
      </c>
      <c r="M154">
        <v>80.599999999999994</v>
      </c>
      <c r="N154" s="1">
        <f>4.7435897436*1.17</f>
        <v>5.550000000012</v>
      </c>
      <c r="O154" s="4">
        <f>M154*N154</f>
        <v>447.33000000096717</v>
      </c>
    </row>
    <row r="155" spans="2:39">
      <c r="B155" t="s">
        <v>27</v>
      </c>
      <c r="C155" s="4" t="s">
        <v>140</v>
      </c>
    </row>
    <row r="156" spans="2:39">
      <c r="B156" t="s">
        <v>27</v>
      </c>
      <c r="C156" s="4" t="s">
        <v>141</v>
      </c>
    </row>
    <row r="157" spans="2:39">
      <c r="B157" t="s">
        <v>27</v>
      </c>
      <c r="C157" s="4" t="s">
        <v>259</v>
      </c>
      <c r="AH157">
        <v>240.5</v>
      </c>
      <c r="AI157" s="1">
        <v>10</v>
      </c>
      <c r="AJ157" s="4">
        <v>2405</v>
      </c>
    </row>
    <row r="158" spans="2:39">
      <c r="B158" t="s">
        <v>27</v>
      </c>
      <c r="C158" s="4" t="s">
        <v>84</v>
      </c>
    </row>
    <row r="159" spans="2:39">
      <c r="B159" t="s">
        <v>27</v>
      </c>
      <c r="C159" s="4" t="s">
        <v>142</v>
      </c>
    </row>
    <row r="160" spans="2:39">
      <c r="B160" t="s">
        <v>27</v>
      </c>
      <c r="C160" s="4" t="s">
        <v>144</v>
      </c>
    </row>
    <row r="161" spans="1:39">
      <c r="B161" t="s">
        <v>27</v>
      </c>
      <c r="C161" s="4" t="s">
        <v>113</v>
      </c>
    </row>
    <row r="162" spans="1:39">
      <c r="B162" t="s">
        <v>27</v>
      </c>
      <c r="C162" s="4" t="s">
        <v>61</v>
      </c>
    </row>
    <row r="163" spans="1:39">
      <c r="B163" t="s">
        <v>258</v>
      </c>
      <c r="AE163">
        <v>29.73</v>
      </c>
      <c r="AF163" s="1">
        <f>57.77777777778*1.17</f>
        <v>67.600000000002595</v>
      </c>
      <c r="AG163" s="4">
        <v>2009.75</v>
      </c>
    </row>
    <row r="164" spans="1:39" s="5" customFormat="1">
      <c r="C164" s="7"/>
      <c r="D164" s="6"/>
      <c r="E164" s="17"/>
      <c r="F164" s="7">
        <f>SUM(F140:F162)</f>
        <v>6921</v>
      </c>
      <c r="H164" s="17"/>
      <c r="I164" s="7">
        <f>SUM(I140:I162)</f>
        <v>8662</v>
      </c>
      <c r="J164" s="5">
        <f>SUM(J140:J162)</f>
        <v>1135.9000000000001</v>
      </c>
      <c r="K164" s="17"/>
      <c r="L164" s="7">
        <f>SUM(L140:L162)</f>
        <v>11359</v>
      </c>
      <c r="N164" s="17"/>
      <c r="O164" s="7">
        <f>SUM(O140:O162)</f>
        <v>9066.3300002640226</v>
      </c>
      <c r="Q164" s="32"/>
      <c r="R164" s="9">
        <f>SUM(R140:R162)</f>
        <v>16275</v>
      </c>
      <c r="T164" s="17"/>
      <c r="U164" s="7">
        <f>SUM(U140:U162)</f>
        <v>6624</v>
      </c>
      <c r="V164" s="24"/>
      <c r="W164" s="17"/>
      <c r="X164" s="9">
        <f>SUM(X140:X162)</f>
        <v>9011.1999997712173</v>
      </c>
      <c r="Z164" s="17"/>
      <c r="AA164" s="7">
        <f>SUM(AA140:AA162)</f>
        <v>15004.999999995282</v>
      </c>
      <c r="AC164" s="17"/>
      <c r="AD164" s="7"/>
      <c r="AF164" s="17"/>
      <c r="AG164" s="7"/>
      <c r="AI164" s="17"/>
      <c r="AJ164" s="7"/>
      <c r="AL164" s="17"/>
      <c r="AM164" s="7"/>
    </row>
    <row r="166" spans="1:39" s="10" customFormat="1">
      <c r="A166" s="10" t="s">
        <v>36</v>
      </c>
      <c r="B166" s="10" t="s">
        <v>13</v>
      </c>
      <c r="C166" s="11" t="s">
        <v>37</v>
      </c>
      <c r="E166" s="15"/>
      <c r="F166" s="11"/>
      <c r="H166" s="15"/>
      <c r="I166" s="11"/>
      <c r="K166" s="15"/>
      <c r="L166" s="11"/>
      <c r="N166" s="15"/>
      <c r="O166" s="11"/>
      <c r="Q166" s="29"/>
      <c r="R166" s="26"/>
      <c r="T166" s="15"/>
      <c r="U166" s="11"/>
      <c r="V166" s="21"/>
      <c r="W166" s="15"/>
      <c r="X166" s="26"/>
      <c r="Z166" s="15"/>
      <c r="AA166" s="11"/>
      <c r="AC166" s="15"/>
      <c r="AD166" s="11"/>
      <c r="AF166" s="15"/>
      <c r="AG166" s="11"/>
      <c r="AI166" s="15"/>
      <c r="AJ166" s="11"/>
      <c r="AL166" s="15"/>
      <c r="AM166" s="11"/>
    </row>
    <row r="167" spans="1:39">
      <c r="C167" s="4" t="s">
        <v>55</v>
      </c>
    </row>
    <row r="168" spans="1:39">
      <c r="C168" s="4" t="s">
        <v>60</v>
      </c>
    </row>
    <row r="169" spans="1:39">
      <c r="C169" s="4" t="s">
        <v>78</v>
      </c>
    </row>
    <row r="170" spans="1:39">
      <c r="D170" s="1"/>
    </row>
    <row r="171" spans="1:39">
      <c r="D171" s="1"/>
    </row>
    <row r="172" spans="1:39" s="10" customFormat="1">
      <c r="A172" s="10" t="s">
        <v>41</v>
      </c>
      <c r="B172" s="10" t="s">
        <v>42</v>
      </c>
      <c r="C172" s="11" t="s">
        <v>43</v>
      </c>
      <c r="E172" s="15"/>
      <c r="F172" s="11"/>
      <c r="H172" s="15"/>
      <c r="I172" s="11"/>
      <c r="K172" s="15"/>
      <c r="L172" s="11"/>
      <c r="N172" s="15"/>
      <c r="O172" s="11"/>
      <c r="Q172" s="29"/>
      <c r="R172" s="26"/>
      <c r="T172" s="15"/>
      <c r="U172" s="11"/>
      <c r="V172" s="21"/>
      <c r="W172" s="15"/>
      <c r="X172" s="26"/>
      <c r="Z172" s="15"/>
      <c r="AA172" s="11"/>
      <c r="AC172" s="15"/>
      <c r="AD172" s="11"/>
      <c r="AF172" s="15"/>
      <c r="AG172" s="11"/>
      <c r="AI172" s="15"/>
      <c r="AJ172" s="11"/>
      <c r="AL172" s="15"/>
      <c r="AM172" s="11"/>
    </row>
    <row r="173" spans="1:39">
      <c r="B173" t="s">
        <v>42</v>
      </c>
      <c r="C173" s="4" t="s">
        <v>11</v>
      </c>
    </row>
    <row r="174" spans="1:39">
      <c r="B174" t="s">
        <v>42</v>
      </c>
      <c r="C174" s="4" t="s">
        <v>44</v>
      </c>
    </row>
    <row r="175" spans="1:39">
      <c r="B175" t="s">
        <v>42</v>
      </c>
      <c r="C175" s="4" t="s">
        <v>45</v>
      </c>
    </row>
    <row r="176" spans="1:39">
      <c r="B176" t="s">
        <v>42</v>
      </c>
      <c r="C176" s="4" t="s">
        <v>46</v>
      </c>
    </row>
    <row r="177" spans="1:39">
      <c r="B177" t="s">
        <v>42</v>
      </c>
      <c r="C177" s="4" t="s">
        <v>116</v>
      </c>
    </row>
    <row r="178" spans="1:39">
      <c r="B178" t="s">
        <v>42</v>
      </c>
      <c r="C178" s="4" t="s">
        <v>47</v>
      </c>
    </row>
    <row r="179" spans="1:39">
      <c r="B179" t="s">
        <v>42</v>
      </c>
      <c r="C179" s="4" t="s">
        <v>88</v>
      </c>
    </row>
    <row r="180" spans="1:39">
      <c r="D180" s="1"/>
    </row>
    <row r="182" spans="1:39" s="10" customFormat="1">
      <c r="A182" s="10" t="s">
        <v>62</v>
      </c>
      <c r="B182" s="10" t="s">
        <v>63</v>
      </c>
      <c r="C182" s="11" t="s">
        <v>64</v>
      </c>
      <c r="E182" s="15"/>
      <c r="F182" s="11"/>
      <c r="H182" s="15"/>
      <c r="I182" s="11"/>
      <c r="K182" s="15"/>
      <c r="L182" s="11"/>
      <c r="N182" s="15"/>
      <c r="O182" s="11"/>
      <c r="Q182" s="29"/>
      <c r="R182" s="26"/>
      <c r="T182" s="15"/>
      <c r="U182" s="11"/>
      <c r="V182" s="21"/>
      <c r="W182" s="15"/>
      <c r="X182" s="26"/>
      <c r="Z182" s="15"/>
      <c r="AA182" s="11"/>
      <c r="AC182" s="15"/>
      <c r="AD182" s="11"/>
      <c r="AF182" s="15"/>
      <c r="AG182" s="11"/>
      <c r="AI182" s="15"/>
      <c r="AJ182" s="11"/>
      <c r="AL182" s="15"/>
      <c r="AM182" s="11"/>
    </row>
    <row r="183" spans="1:39">
      <c r="B183" t="s">
        <v>63</v>
      </c>
      <c r="C183" s="4" t="s">
        <v>128</v>
      </c>
    </row>
    <row r="184" spans="1:39">
      <c r="B184" t="s">
        <v>63</v>
      </c>
      <c r="C184" s="4" t="s">
        <v>65</v>
      </c>
    </row>
    <row r="185" spans="1:39">
      <c r="B185" t="s">
        <v>63</v>
      </c>
      <c r="C185" s="4" t="s">
        <v>66</v>
      </c>
    </row>
    <row r="186" spans="1:39">
      <c r="B186" t="s">
        <v>63</v>
      </c>
      <c r="C186" s="4" t="s">
        <v>67</v>
      </c>
    </row>
    <row r="187" spans="1:39">
      <c r="B187" t="s">
        <v>63</v>
      </c>
      <c r="C187" s="4" t="s">
        <v>68</v>
      </c>
      <c r="AK187">
        <f>79.1+161.4</f>
        <v>240.5</v>
      </c>
      <c r="AL187" s="1">
        <f>12.820512821*1.17</f>
        <v>15.000000000569999</v>
      </c>
      <c r="AM187" s="4">
        <f>AK187*AL187</f>
        <v>3607.500000137085</v>
      </c>
    </row>
    <row r="188" spans="1:39">
      <c r="B188" t="s">
        <v>63</v>
      </c>
      <c r="C188" s="4" t="s">
        <v>82</v>
      </c>
      <c r="AK188">
        <v>81.5</v>
      </c>
      <c r="AL188" s="1">
        <f>7.6923076923*1.17</f>
        <v>8.9999999999909992</v>
      </c>
      <c r="AM188" s="4">
        <f>AK188*AL188</f>
        <v>733.49999999926638</v>
      </c>
    </row>
    <row r="189" spans="1:39">
      <c r="B189" t="s">
        <v>63</v>
      </c>
      <c r="C189" s="4" t="s">
        <v>127</v>
      </c>
    </row>
    <row r="190" spans="1:39">
      <c r="B190" t="s">
        <v>63</v>
      </c>
      <c r="C190" s="4" t="s">
        <v>160</v>
      </c>
      <c r="D190" s="3">
        <v>77.3</v>
      </c>
      <c r="E190" s="1">
        <f>7.6923076923*1.17</f>
        <v>8.9999999999909992</v>
      </c>
      <c r="F190" s="4">
        <v>695.7</v>
      </c>
      <c r="AK190">
        <v>81.3</v>
      </c>
      <c r="AL190" s="1">
        <v>9</v>
      </c>
      <c r="AM190" s="4">
        <f>AK190*AL190</f>
        <v>731.69999999999993</v>
      </c>
    </row>
    <row r="191" spans="1:39">
      <c r="D191" s="3"/>
    </row>
    <row r="192" spans="1:39">
      <c r="AM192" s="4">
        <f>SUM(AM186:AM191)</f>
        <v>5072.7000001363513</v>
      </c>
    </row>
    <row r="193" spans="1:39" s="10" customFormat="1" ht="12.75" customHeight="1">
      <c r="A193" s="10" t="s">
        <v>25</v>
      </c>
      <c r="B193" s="10" t="s">
        <v>13</v>
      </c>
      <c r="C193" s="11">
        <v>3.7</v>
      </c>
      <c r="E193" s="15"/>
      <c r="F193" s="11"/>
      <c r="H193" s="15"/>
      <c r="I193" s="11"/>
      <c r="K193" s="15"/>
      <c r="L193" s="11"/>
      <c r="M193" s="10">
        <v>464.4</v>
      </c>
      <c r="N193" s="15">
        <f>56.41025641*1.17</f>
        <v>65.999999999699995</v>
      </c>
      <c r="O193" s="11">
        <f>M193*N193</f>
        <v>30650.399999860678</v>
      </c>
      <c r="Q193" s="29"/>
      <c r="R193" s="26"/>
      <c r="T193" s="15"/>
      <c r="U193" s="11"/>
      <c r="V193" s="21"/>
      <c r="W193" s="15"/>
      <c r="X193" s="26"/>
      <c r="Z193" s="15"/>
      <c r="AA193" s="11"/>
      <c r="AC193" s="15"/>
      <c r="AD193" s="11"/>
      <c r="AF193" s="15"/>
      <c r="AG193" s="11"/>
      <c r="AI193" s="15"/>
      <c r="AJ193" s="11"/>
      <c r="AL193" s="15"/>
      <c r="AM193" s="11"/>
    </row>
    <row r="194" spans="1:39" ht="12.75" customHeight="1">
      <c r="B194" t="s">
        <v>59</v>
      </c>
      <c r="C194" s="4">
        <v>3.8</v>
      </c>
      <c r="D194">
        <v>461.4</v>
      </c>
      <c r="E194" s="1">
        <f>56.41025641*1.17</f>
        <v>65.999999999699995</v>
      </c>
      <c r="F194" s="4">
        <v>30452.400000000001</v>
      </c>
    </row>
    <row r="195" spans="1:39" ht="12.75" customHeight="1">
      <c r="D195" s="1"/>
    </row>
    <row r="196" spans="1:39" s="10" customFormat="1" ht="12.75" customHeight="1">
      <c r="A196" s="10" t="s">
        <v>168</v>
      </c>
      <c r="B196" s="10" t="s">
        <v>169</v>
      </c>
      <c r="C196" s="11" t="s">
        <v>171</v>
      </c>
      <c r="D196" s="10">
        <v>80.7</v>
      </c>
      <c r="E196" s="15">
        <f>15.384615385*1.17</f>
        <v>18.000000000449997</v>
      </c>
      <c r="F196" s="11">
        <f>1241.54+211.06</f>
        <v>1452.6</v>
      </c>
      <c r="H196" s="15"/>
      <c r="I196" s="11"/>
      <c r="K196" s="15"/>
      <c r="L196" s="11"/>
      <c r="N196" s="15"/>
      <c r="O196" s="11"/>
      <c r="Q196" s="29"/>
      <c r="R196" s="26"/>
      <c r="T196" s="15"/>
      <c r="U196" s="11"/>
      <c r="V196" s="21"/>
      <c r="W196" s="15"/>
      <c r="X196" s="26"/>
      <c r="Z196" s="15"/>
      <c r="AA196" s="11"/>
      <c r="AC196" s="15"/>
      <c r="AD196" s="11"/>
      <c r="AF196" s="15"/>
      <c r="AG196" s="11"/>
      <c r="AI196" s="15"/>
      <c r="AJ196" s="11"/>
      <c r="AL196" s="15"/>
      <c r="AM196" s="11"/>
    </row>
    <row r="197" spans="1:39">
      <c r="B197" t="s">
        <v>169</v>
      </c>
      <c r="C197" s="4" t="s">
        <v>172</v>
      </c>
      <c r="D197">
        <v>55.8</v>
      </c>
      <c r="E197" s="1">
        <f>11.965811966*1.17</f>
        <v>14.00000000022</v>
      </c>
      <c r="F197" s="4">
        <f>667.69+113.51</f>
        <v>781.2</v>
      </c>
    </row>
    <row r="198" spans="1:39">
      <c r="B198" t="s">
        <v>169</v>
      </c>
      <c r="C198" s="4" t="s">
        <v>173</v>
      </c>
      <c r="D198">
        <v>80.400000000000006</v>
      </c>
      <c r="E198" s="1">
        <f>15.384615385*1.17</f>
        <v>18.000000000449997</v>
      </c>
      <c r="F198" s="4">
        <f>1236.92+210.28</f>
        <v>1447.2</v>
      </c>
    </row>
    <row r="199" spans="1:39">
      <c r="B199" t="s">
        <v>170</v>
      </c>
      <c r="C199" s="4" t="s">
        <v>173</v>
      </c>
      <c r="D199">
        <v>80.5</v>
      </c>
      <c r="E199" s="1">
        <f>5.9829059829*1.17</f>
        <v>6.9999999999929994</v>
      </c>
      <c r="F199" s="4">
        <f>481.62+81.88</f>
        <v>563.5</v>
      </c>
    </row>
    <row r="200" spans="1:39">
      <c r="F200" s="4">
        <f>SUM(F196:F199)</f>
        <v>4244.5</v>
      </c>
    </row>
    <row r="202" spans="1:39" s="10" customFormat="1">
      <c r="A202" s="10" t="s">
        <v>175</v>
      </c>
      <c r="B202" s="10" t="s">
        <v>176</v>
      </c>
      <c r="C202" s="11" t="s">
        <v>177</v>
      </c>
      <c r="E202" s="15"/>
      <c r="F202" s="11"/>
      <c r="H202" s="15"/>
      <c r="I202" s="11"/>
      <c r="J202" s="10">
        <v>61.6</v>
      </c>
      <c r="K202" s="15">
        <f>68.376068376*1.17</f>
        <v>79.999999999920007</v>
      </c>
      <c r="L202" s="11">
        <v>4928</v>
      </c>
      <c r="N202" s="15"/>
      <c r="O202" s="11"/>
      <c r="Q202" s="29"/>
      <c r="R202" s="26"/>
      <c r="T202" s="15"/>
      <c r="U202" s="11"/>
      <c r="V202" s="21"/>
      <c r="W202" s="15"/>
      <c r="X202" s="26"/>
      <c r="Z202" s="15"/>
      <c r="AA202" s="11"/>
      <c r="AC202" s="15"/>
      <c r="AD202" s="11"/>
      <c r="AF202" s="15"/>
      <c r="AG202" s="11"/>
      <c r="AI202" s="15"/>
      <c r="AJ202" s="11"/>
      <c r="AL202" s="15"/>
      <c r="AM202" s="11"/>
    </row>
    <row r="203" spans="1:39">
      <c r="B203" s="8" t="s">
        <v>242</v>
      </c>
      <c r="C203" s="4" t="s">
        <v>243</v>
      </c>
      <c r="AB203">
        <v>81.3</v>
      </c>
      <c r="AC203" s="1">
        <f>56.41025641*1.17</f>
        <v>65.999999999699995</v>
      </c>
      <c r="AD203" s="4">
        <f>AB203*AC203</f>
        <v>5365.7999999756094</v>
      </c>
    </row>
    <row r="204" spans="1:39">
      <c r="B204" s="8" t="s">
        <v>242</v>
      </c>
      <c r="C204" s="4" t="s">
        <v>253</v>
      </c>
      <c r="AE204">
        <v>160</v>
      </c>
      <c r="AF204" s="1">
        <f>46.153846154*1.17</f>
        <v>54.000000000179995</v>
      </c>
      <c r="AG204" s="4">
        <f>AE204*AF204</f>
        <v>8640.0000000287982</v>
      </c>
    </row>
    <row r="205" spans="1:39" s="10" customFormat="1">
      <c r="A205" s="10" t="s">
        <v>178</v>
      </c>
      <c r="B205" s="10" t="s">
        <v>179</v>
      </c>
      <c r="C205" s="11" t="s">
        <v>180</v>
      </c>
      <c r="E205" s="15"/>
      <c r="F205" s="11"/>
      <c r="H205" s="15"/>
      <c r="I205" s="11"/>
      <c r="J205" s="10">
        <v>46.2</v>
      </c>
      <c r="K205" s="15">
        <f>72.64957265*1.17</f>
        <v>85.000000000499995</v>
      </c>
      <c r="L205" s="11">
        <f>3356.41+570.59</f>
        <v>3927</v>
      </c>
      <c r="M205" s="10">
        <v>27</v>
      </c>
      <c r="N205" s="15">
        <f>119.65811966*1.17</f>
        <v>140.00000000219998</v>
      </c>
      <c r="O205" s="13">
        <f>M205*N205</f>
        <v>3780.0000000593996</v>
      </c>
      <c r="Q205" s="29"/>
      <c r="R205" s="26"/>
      <c r="T205" s="15"/>
      <c r="U205" s="11"/>
      <c r="V205" s="21"/>
      <c r="W205" s="15"/>
      <c r="X205" s="26"/>
      <c r="Z205" s="15"/>
      <c r="AA205" s="11"/>
      <c r="AC205" s="15"/>
      <c r="AD205" s="11"/>
      <c r="AF205" s="15"/>
      <c r="AG205" s="11"/>
      <c r="AI205" s="15"/>
      <c r="AJ205" s="11"/>
      <c r="AL205" s="15"/>
      <c r="AM205" s="11"/>
    </row>
    <row r="206" spans="1:39">
      <c r="B206" t="s">
        <v>179</v>
      </c>
      <c r="C206" s="4" t="s">
        <v>181</v>
      </c>
      <c r="J206">
        <v>45.6</v>
      </c>
      <c r="K206" s="1">
        <v>85</v>
      </c>
      <c r="L206" s="4">
        <f>3312.82+563.18</f>
        <v>3876</v>
      </c>
      <c r="M206">
        <v>30.9</v>
      </c>
      <c r="N206" s="1">
        <v>140</v>
      </c>
      <c r="O206" s="13">
        <f>M206*N206</f>
        <v>4326</v>
      </c>
    </row>
    <row r="207" spans="1:39">
      <c r="B207" t="s">
        <v>179</v>
      </c>
      <c r="C207" s="4" t="s">
        <v>182</v>
      </c>
      <c r="J207">
        <v>22.3</v>
      </c>
      <c r="K207" s="1">
        <f>158.11965812*1.17</f>
        <v>185.00000000039998</v>
      </c>
      <c r="L207" s="4">
        <f>3526.07+599.43</f>
        <v>4125.5</v>
      </c>
      <c r="O207" s="13">
        <f t="shared" ref="O207:O208" si="2">M207*N207</f>
        <v>0</v>
      </c>
    </row>
    <row r="208" spans="1:39">
      <c r="B208" t="s">
        <v>179</v>
      </c>
      <c r="C208" s="4" t="s">
        <v>185</v>
      </c>
      <c r="M208">
        <v>15</v>
      </c>
      <c r="N208" s="1">
        <f>102.56410256*1.17</f>
        <v>119.99999999519999</v>
      </c>
      <c r="O208" s="13">
        <f t="shared" si="2"/>
        <v>1799.9999999279999</v>
      </c>
    </row>
    <row r="209" spans="1:39">
      <c r="B209" t="s">
        <v>179</v>
      </c>
      <c r="C209" s="4" t="s">
        <v>240</v>
      </c>
      <c r="AB209">
        <v>27.3</v>
      </c>
      <c r="AC209" s="1">
        <f>119.65811966*1.17</f>
        <v>140.00000000219998</v>
      </c>
      <c r="AD209" s="4">
        <f>AB209*AC209</f>
        <v>3822.0000000600594</v>
      </c>
    </row>
    <row r="210" spans="1:39">
      <c r="B210" t="s">
        <v>179</v>
      </c>
      <c r="C210" s="4" t="s">
        <v>241</v>
      </c>
      <c r="AB210">
        <v>30.1</v>
      </c>
      <c r="AC210" s="1">
        <v>140</v>
      </c>
      <c r="AD210" s="4">
        <f>AB210*AC210</f>
        <v>4214</v>
      </c>
    </row>
    <row r="213" spans="1:39">
      <c r="L213" s="4">
        <f>SUM(L205:L212)</f>
        <v>11928.5</v>
      </c>
      <c r="O213" s="4">
        <f>SUM(O205:O212)</f>
        <v>9905.999999987398</v>
      </c>
      <c r="AD213" s="4">
        <f>SUM(AD209:AD212)</f>
        <v>8036.0000000600594</v>
      </c>
    </row>
    <row r="214" spans="1:39" s="10" customFormat="1">
      <c r="A214" s="10" t="s">
        <v>200</v>
      </c>
      <c r="B214" s="10" t="s">
        <v>201</v>
      </c>
      <c r="C214" s="11" t="s">
        <v>202</v>
      </c>
      <c r="E214" s="15"/>
      <c r="F214" s="11"/>
      <c r="H214" s="15"/>
      <c r="I214" s="11"/>
      <c r="K214" s="15"/>
      <c r="L214" s="11"/>
      <c r="N214" s="15"/>
      <c r="O214" s="11"/>
      <c r="P214" s="10">
        <v>0.99570000000000003</v>
      </c>
      <c r="Q214" s="29">
        <f>30769.230769*1.17</f>
        <v>35999.999999729996</v>
      </c>
      <c r="R214" s="26">
        <f>P214*Q214</f>
        <v>35845.199999731158</v>
      </c>
      <c r="S214" s="10">
        <v>0.84230000000000005</v>
      </c>
      <c r="T214" s="15">
        <f>30769.230769*1.17</f>
        <v>35999.999999729996</v>
      </c>
      <c r="U214" s="11">
        <f>S214*T214</f>
        <v>30322.799999772578</v>
      </c>
      <c r="V214" s="21"/>
      <c r="W214" s="15"/>
      <c r="X214" s="26"/>
      <c r="Z214" s="15"/>
      <c r="AA214" s="11"/>
      <c r="AC214" s="15"/>
      <c r="AD214" s="11"/>
      <c r="AF214" s="15"/>
      <c r="AG214" s="11"/>
      <c r="AI214" s="15"/>
      <c r="AJ214" s="11"/>
      <c r="AL214" s="15"/>
      <c r="AM214" s="11"/>
    </row>
    <row r="216" spans="1:39" s="34" customFormat="1">
      <c r="C216" s="35"/>
      <c r="E216" s="36"/>
      <c r="F216" s="35"/>
      <c r="H216" s="36"/>
      <c r="I216" s="35"/>
      <c r="K216" s="36"/>
      <c r="L216" s="35"/>
      <c r="N216" s="36"/>
      <c r="O216" s="35"/>
      <c r="Q216" s="37"/>
      <c r="R216" s="38"/>
      <c r="T216" s="36"/>
      <c r="U216" s="35"/>
      <c r="V216" s="39"/>
      <c r="W216" s="36"/>
      <c r="X216" s="38"/>
      <c r="Z216" s="36"/>
      <c r="AA216" s="35"/>
      <c r="AC216" s="36"/>
      <c r="AD216" s="35"/>
      <c r="AF216" s="36"/>
      <c r="AG216" s="35"/>
      <c r="AI216" s="36"/>
      <c r="AJ216" s="35"/>
      <c r="AL216" s="36"/>
      <c r="AM216" s="35"/>
    </row>
    <row r="217" spans="1:39">
      <c r="A217" t="s">
        <v>230</v>
      </c>
      <c r="B217" t="s">
        <v>231</v>
      </c>
      <c r="AB217">
        <v>30.8</v>
      </c>
      <c r="AC217" s="1">
        <f>51.282051282*1.17</f>
        <v>59.999999999939995</v>
      </c>
      <c r="AD217" s="4">
        <f>AB217*AC217</f>
        <v>1847.9999999981519</v>
      </c>
    </row>
  </sheetData>
  <mergeCells count="12">
    <mergeCell ref="AK1:AM1"/>
    <mergeCell ref="AH1:AJ1"/>
    <mergeCell ref="D1:F1"/>
    <mergeCell ref="G1:I1"/>
    <mergeCell ref="J1:L1"/>
    <mergeCell ref="M1:O1"/>
    <mergeCell ref="P1:R1"/>
    <mergeCell ref="AE1:AG1"/>
    <mergeCell ref="AB1:AD1"/>
    <mergeCell ref="S1:U1"/>
    <mergeCell ref="V1:X1"/>
    <mergeCell ref="Y1:AA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265"/>
  <sheetViews>
    <sheetView workbookViewId="0">
      <pane xSplit="3" ySplit="2" topLeftCell="S18" activePane="bottomRight" state="frozen"/>
      <selection pane="topRight" activeCell="D1" sqref="D1"/>
      <selection pane="bottomLeft" activeCell="A3" sqref="A3"/>
      <selection pane="bottomRight" sqref="A1:XFD1048576"/>
    </sheetView>
  </sheetViews>
  <sheetFormatPr defaultRowHeight="14.4"/>
  <cols>
    <col min="1" max="1" width="11" bestFit="1" customWidth="1"/>
    <col min="2" max="2" width="19.21875" bestFit="1" customWidth="1"/>
    <col min="3" max="3" width="23.88671875" style="4" customWidth="1"/>
    <col min="4" max="4" width="7.5546875" bestFit="1" customWidth="1"/>
    <col min="5" max="5" width="5.77734375" style="1" bestFit="1" customWidth="1"/>
    <col min="6" max="6" width="8.5546875" style="4" bestFit="1" customWidth="1"/>
    <col min="7" max="7" width="6.5546875" bestFit="1" customWidth="1"/>
    <col min="8" max="8" width="5.77734375" style="1" bestFit="1" customWidth="1"/>
    <col min="9" max="9" width="8.5546875" style="4" bestFit="1" customWidth="1"/>
    <col min="10" max="10" width="7.5546875" bestFit="1" customWidth="1"/>
    <col min="11" max="11" width="7.77734375" style="1" customWidth="1"/>
    <col min="12" max="12" width="11.21875" style="4" customWidth="1"/>
    <col min="13" max="13" width="6.44140625" bestFit="1" customWidth="1"/>
    <col min="14" max="14" width="5.77734375" style="1" bestFit="1" customWidth="1"/>
    <col min="15" max="15" width="9.44140625" style="4" bestFit="1" customWidth="1"/>
    <col min="16" max="16" width="6.44140625" bestFit="1" customWidth="1"/>
    <col min="17" max="17" width="8.44140625" style="31" bestFit="1" customWidth="1"/>
    <col min="18" max="18" width="10.44140625" style="25" bestFit="1" customWidth="1"/>
    <col min="19" max="19" width="7.5546875" style="50" bestFit="1" customWidth="1"/>
    <col min="20" max="20" width="12.88671875" style="51" bestFit="1" customWidth="1"/>
    <col min="21" max="21" width="5.21875" style="44" bestFit="1" customWidth="1"/>
    <col min="22" max="22" width="8.5546875" style="23" bestFit="1" customWidth="1"/>
    <col min="23" max="23" width="6.33203125" style="1" customWidth="1"/>
    <col min="24" max="24" width="5.21875" style="25" bestFit="1" customWidth="1"/>
    <col min="25" max="25" width="7.77734375" customWidth="1"/>
    <col min="26" max="26" width="14.109375" style="1" bestFit="1" customWidth="1"/>
    <col min="27" max="27" width="5.21875" style="4" bestFit="1" customWidth="1"/>
    <col min="28" max="28" width="7.88671875" customWidth="1"/>
    <col min="29" max="29" width="7.6640625" style="1" customWidth="1"/>
    <col min="30" max="30" width="5.21875" style="4" bestFit="1" customWidth="1"/>
    <col min="31" max="31" width="6.6640625" customWidth="1"/>
    <col min="32" max="32" width="7.77734375" style="1" customWidth="1"/>
    <col min="33" max="33" width="5.21875" style="4" bestFit="1" customWidth="1"/>
    <col min="34" max="34" width="6.77734375" customWidth="1"/>
    <col min="35" max="35" width="9.33203125" style="1" customWidth="1"/>
    <col min="36" max="36" width="5.21875" style="4" bestFit="1" customWidth="1"/>
    <col min="37" max="37" width="6.88671875" customWidth="1"/>
    <col min="38" max="38" width="5.77734375" style="1" bestFit="1" customWidth="1"/>
    <col min="39" max="39" width="5.21875" style="4" bestFit="1" customWidth="1"/>
  </cols>
  <sheetData>
    <row r="1" spans="1:39">
      <c r="D1" s="121" t="s">
        <v>149</v>
      </c>
      <c r="E1" s="121"/>
      <c r="F1" s="121"/>
      <c r="G1" s="121" t="s">
        <v>162</v>
      </c>
      <c r="H1" s="121"/>
      <c r="I1" s="121"/>
      <c r="J1" s="121" t="s">
        <v>203</v>
      </c>
      <c r="K1" s="121"/>
      <c r="L1" s="122"/>
      <c r="M1" s="123" t="s">
        <v>204</v>
      </c>
      <c r="N1" s="121"/>
      <c r="O1" s="122"/>
      <c r="P1" s="123" t="s">
        <v>205</v>
      </c>
      <c r="Q1" s="121"/>
      <c r="R1" s="121"/>
      <c r="S1" s="125" t="s">
        <v>209</v>
      </c>
      <c r="T1" s="125"/>
      <c r="U1" s="125"/>
      <c r="V1" s="121" t="s">
        <v>210</v>
      </c>
      <c r="W1" s="121"/>
      <c r="X1" s="121"/>
      <c r="Y1" s="121" t="s">
        <v>211</v>
      </c>
      <c r="Z1" s="121"/>
      <c r="AA1" s="121"/>
      <c r="AB1" s="121" t="s">
        <v>232</v>
      </c>
      <c r="AC1" s="121"/>
      <c r="AD1" s="121"/>
      <c r="AE1" s="121" t="s">
        <v>246</v>
      </c>
      <c r="AF1" s="121"/>
      <c r="AG1" s="121"/>
      <c r="AH1" s="121" t="s">
        <v>254</v>
      </c>
      <c r="AI1" s="121"/>
      <c r="AJ1" s="121"/>
      <c r="AK1" s="121" t="s">
        <v>262</v>
      </c>
      <c r="AL1" s="121"/>
      <c r="AM1" s="121"/>
    </row>
    <row r="2" spans="1:39">
      <c r="D2" s="41" t="s">
        <v>150</v>
      </c>
      <c r="E2" s="1" t="s">
        <v>6</v>
      </c>
      <c r="F2" s="4" t="s">
        <v>157</v>
      </c>
      <c r="G2" t="s">
        <v>150</v>
      </c>
      <c r="H2" s="1" t="s">
        <v>6</v>
      </c>
      <c r="I2" s="4" t="s">
        <v>157</v>
      </c>
      <c r="J2" s="8" t="s">
        <v>206</v>
      </c>
      <c r="K2" s="14" t="s">
        <v>208</v>
      </c>
      <c r="L2" s="4" t="s">
        <v>207</v>
      </c>
      <c r="M2" s="8" t="s">
        <v>206</v>
      </c>
      <c r="N2" s="14" t="s">
        <v>208</v>
      </c>
      <c r="O2" s="4" t="s">
        <v>207</v>
      </c>
      <c r="P2" s="8" t="s">
        <v>206</v>
      </c>
      <c r="Q2" s="28" t="s">
        <v>208</v>
      </c>
      <c r="R2" s="27" t="s">
        <v>207</v>
      </c>
      <c r="S2" s="42" t="s">
        <v>206</v>
      </c>
      <c r="T2" s="43" t="s">
        <v>208</v>
      </c>
      <c r="U2" s="44" t="s">
        <v>207</v>
      </c>
      <c r="V2" s="20" t="s">
        <v>206</v>
      </c>
      <c r="W2" s="14" t="s">
        <v>208</v>
      </c>
      <c r="X2" s="25" t="s">
        <v>207</v>
      </c>
      <c r="Y2" s="8" t="s">
        <v>206</v>
      </c>
      <c r="Z2" s="14" t="s">
        <v>208</v>
      </c>
      <c r="AA2" s="4" t="s">
        <v>207</v>
      </c>
      <c r="AB2" t="s">
        <v>150</v>
      </c>
      <c r="AC2" s="1" t="s">
        <v>6</v>
      </c>
      <c r="AD2" s="4" t="s">
        <v>157</v>
      </c>
      <c r="AE2" s="8" t="s">
        <v>150</v>
      </c>
      <c r="AF2" s="14" t="s">
        <v>6</v>
      </c>
      <c r="AG2" s="4" t="s">
        <v>157</v>
      </c>
      <c r="AH2" s="8" t="s">
        <v>150</v>
      </c>
      <c r="AI2" s="14" t="s">
        <v>6</v>
      </c>
      <c r="AJ2" s="12" t="s">
        <v>157</v>
      </c>
      <c r="AK2" s="8" t="s">
        <v>150</v>
      </c>
      <c r="AL2" s="14" t="s">
        <v>6</v>
      </c>
      <c r="AM2" s="12" t="s">
        <v>157</v>
      </c>
    </row>
    <row r="3" spans="1:39" s="10" customFormat="1">
      <c r="A3" t="s">
        <v>0</v>
      </c>
      <c r="B3" s="10" t="s">
        <v>75</v>
      </c>
      <c r="C3" s="11" t="s">
        <v>76</v>
      </c>
      <c r="E3" s="15"/>
      <c r="F3" s="11"/>
      <c r="H3" s="15"/>
      <c r="I3" s="11"/>
      <c r="K3" s="15"/>
      <c r="L3" s="11"/>
      <c r="N3" s="15"/>
      <c r="O3" s="11"/>
      <c r="Q3" s="29"/>
      <c r="R3" s="26"/>
      <c r="S3" s="45"/>
      <c r="T3" s="46"/>
      <c r="U3" s="47"/>
      <c r="V3" s="21"/>
      <c r="W3" s="15"/>
      <c r="X3" s="26"/>
      <c r="Z3" s="15"/>
      <c r="AA3" s="11"/>
      <c r="AC3" s="15"/>
      <c r="AD3" s="11"/>
      <c r="AF3" s="15"/>
      <c r="AG3" s="11"/>
      <c r="AI3" s="15"/>
      <c r="AJ3" s="11"/>
      <c r="AL3" s="15"/>
      <c r="AM3" s="11"/>
    </row>
    <row r="4" spans="1:39" s="13" customFormat="1">
      <c r="A4"/>
      <c r="B4" t="s">
        <v>197</v>
      </c>
      <c r="C4" s="4" t="s">
        <v>224</v>
      </c>
      <c r="D4" s="3"/>
      <c r="E4" s="1"/>
      <c r="F4" s="4"/>
      <c r="G4"/>
      <c r="H4" s="1"/>
      <c r="I4" s="4"/>
      <c r="J4"/>
      <c r="K4" s="1"/>
      <c r="L4" s="4"/>
      <c r="M4"/>
      <c r="N4" s="1"/>
      <c r="O4" s="4"/>
      <c r="P4"/>
      <c r="Q4" s="31"/>
      <c r="R4" s="25"/>
      <c r="S4" s="50"/>
      <c r="T4" s="51"/>
      <c r="U4" s="44"/>
      <c r="V4" s="23"/>
      <c r="W4" s="1"/>
      <c r="X4" s="25"/>
      <c r="Y4"/>
      <c r="Z4" s="1"/>
      <c r="AA4" s="4"/>
      <c r="AB4"/>
      <c r="AC4" s="1"/>
      <c r="AD4" s="4"/>
      <c r="AE4"/>
      <c r="AF4" s="1"/>
      <c r="AG4" s="4"/>
      <c r="AH4"/>
      <c r="AI4" s="1"/>
      <c r="AJ4" s="4"/>
      <c r="AK4"/>
      <c r="AL4" s="1"/>
      <c r="AM4" s="4"/>
    </row>
    <row r="5" spans="1:39">
      <c r="B5" t="s">
        <v>197</v>
      </c>
      <c r="C5" s="4" t="s">
        <v>198</v>
      </c>
      <c r="D5" s="3"/>
    </row>
    <row r="6" spans="1:39">
      <c r="B6" t="s">
        <v>1</v>
      </c>
      <c r="C6" s="4" t="s">
        <v>126</v>
      </c>
    </row>
    <row r="7" spans="1:39">
      <c r="B7" t="s">
        <v>154</v>
      </c>
      <c r="C7" s="4" t="s">
        <v>218</v>
      </c>
    </row>
    <row r="8" spans="1:39">
      <c r="B8" t="s">
        <v>154</v>
      </c>
      <c r="C8" s="4" t="s">
        <v>279</v>
      </c>
      <c r="M8">
        <v>14.5</v>
      </c>
      <c r="N8" s="1">
        <f>64.102564103*1.17</f>
        <v>75.000000000509999</v>
      </c>
      <c r="O8" s="4">
        <f>M8*N8</f>
        <v>1087.5000000073951</v>
      </c>
    </row>
    <row r="9" spans="1:39">
      <c r="B9" t="s">
        <v>292</v>
      </c>
      <c r="C9" s="4" t="s">
        <v>293</v>
      </c>
      <c r="V9" s="23">
        <v>51.8</v>
      </c>
      <c r="W9" s="1">
        <f>61.538461538*1.17</f>
        <v>71.999999999460002</v>
      </c>
      <c r="Y9">
        <v>51.8</v>
      </c>
      <c r="Z9" s="1">
        <v>72</v>
      </c>
    </row>
    <row r="10" spans="1:39">
      <c r="B10" t="s">
        <v>292</v>
      </c>
      <c r="C10" s="4" t="s">
        <v>296</v>
      </c>
      <c r="V10" s="23">
        <v>51.8</v>
      </c>
      <c r="W10" s="1">
        <v>72</v>
      </c>
    </row>
    <row r="11" spans="1:39">
      <c r="B11" t="s">
        <v>292</v>
      </c>
      <c r="C11" s="4" t="s">
        <v>294</v>
      </c>
      <c r="V11" s="23">
        <v>513.6</v>
      </c>
      <c r="W11" s="1">
        <f>61.538461538*1.17</f>
        <v>71.999999999460002</v>
      </c>
      <c r="AB11">
        <v>256.8</v>
      </c>
      <c r="AC11" s="1">
        <v>72</v>
      </c>
    </row>
    <row r="12" spans="1:39">
      <c r="B12" t="s">
        <v>292</v>
      </c>
      <c r="C12" s="4" t="s">
        <v>295</v>
      </c>
      <c r="V12" s="23">
        <v>51.8</v>
      </c>
      <c r="W12" s="1">
        <v>72</v>
      </c>
      <c r="Y12">
        <v>51.8</v>
      </c>
      <c r="Z12" s="1">
        <v>72</v>
      </c>
      <c r="AB12">
        <v>64.2</v>
      </c>
      <c r="AC12" s="1">
        <f>61.538461538*1.17</f>
        <v>71.999999999460002</v>
      </c>
      <c r="AE12">
        <v>256.8</v>
      </c>
      <c r="AF12" s="1">
        <f>61.538461538*1.17</f>
        <v>71.999999999460002</v>
      </c>
    </row>
    <row r="13" spans="1:39">
      <c r="B13" t="s">
        <v>154</v>
      </c>
      <c r="C13" s="4" t="s">
        <v>283</v>
      </c>
      <c r="P13">
        <v>103.6</v>
      </c>
      <c r="Q13" s="31">
        <f>61.538461538*1.17</f>
        <v>71.999999999460002</v>
      </c>
      <c r="R13" s="25">
        <f>P13*Q13</f>
        <v>7459.1999999440559</v>
      </c>
      <c r="S13" s="50">
        <v>42</v>
      </c>
      <c r="T13" s="51">
        <f>61.538461538*1.17</f>
        <v>71.999999999460002</v>
      </c>
      <c r="Y13">
        <v>51.8</v>
      </c>
      <c r="Z13" s="1">
        <f>61.538461538*1.17</f>
        <v>71.999999999460002</v>
      </c>
      <c r="AB13">
        <v>51.8</v>
      </c>
      <c r="AC13" s="1">
        <v>72</v>
      </c>
      <c r="AE13">
        <v>128.4</v>
      </c>
      <c r="AF13" s="1">
        <v>72</v>
      </c>
    </row>
    <row r="14" spans="1:39">
      <c r="B14" t="s">
        <v>154</v>
      </c>
      <c r="C14" s="4" t="s">
        <v>281</v>
      </c>
      <c r="M14">
        <v>321</v>
      </c>
      <c r="N14" s="1">
        <f>61.538461538*1.17</f>
        <v>71.999999999460002</v>
      </c>
      <c r="O14" s="4">
        <f>M14*N14</f>
        <v>23111.999999826661</v>
      </c>
      <c r="S14" s="50">
        <v>449.4</v>
      </c>
      <c r="T14" s="51">
        <f>61.538461538*1.17</f>
        <v>71.999999999460002</v>
      </c>
      <c r="Y14">
        <v>519.20000000000005</v>
      </c>
      <c r="Z14" s="1">
        <v>72</v>
      </c>
    </row>
    <row r="15" spans="1:39">
      <c r="B15" t="s">
        <v>154</v>
      </c>
      <c r="C15" s="4" t="s">
        <v>74</v>
      </c>
    </row>
    <row r="16" spans="1:39">
      <c r="B16" t="s">
        <v>154</v>
      </c>
      <c r="C16" s="4" t="s">
        <v>267</v>
      </c>
    </row>
    <row r="17" spans="2:38">
      <c r="B17" t="s">
        <v>154</v>
      </c>
      <c r="C17" s="4" t="s">
        <v>130</v>
      </c>
      <c r="E17" s="19"/>
      <c r="P17">
        <v>70.8</v>
      </c>
      <c r="Q17" s="31">
        <f>55.5555555556*1.17</f>
        <v>65.000000000051998</v>
      </c>
      <c r="R17" s="25">
        <f>P17*Q17</f>
        <v>4602.0000000036816</v>
      </c>
    </row>
    <row r="18" spans="2:38">
      <c r="B18" t="s">
        <v>154</v>
      </c>
      <c r="C18" s="4" t="s">
        <v>268</v>
      </c>
      <c r="D18">
        <v>154.69999999999999</v>
      </c>
      <c r="E18" s="1">
        <f>51.282051282*1.17</f>
        <v>59.999999999939995</v>
      </c>
      <c r="F18" s="4">
        <f>D18*E18</f>
        <v>9281.9999999907159</v>
      </c>
      <c r="M18">
        <v>233.8</v>
      </c>
      <c r="N18" s="1">
        <f>51.282051282*1.17</f>
        <v>59.999999999939995</v>
      </c>
      <c r="O18" s="4">
        <f>M18*N18</f>
        <v>14027.999999985972</v>
      </c>
    </row>
    <row r="19" spans="2:38">
      <c r="B19" t="s">
        <v>154</v>
      </c>
      <c r="C19" s="4" t="s">
        <v>251</v>
      </c>
      <c r="Y19">
        <v>162.5</v>
      </c>
      <c r="Z19" s="1">
        <f>51.282051282*1.17</f>
        <v>59.999999999939995</v>
      </c>
      <c r="AB19">
        <v>155.80000000000001</v>
      </c>
      <c r="AC19" s="1">
        <v>60</v>
      </c>
    </row>
    <row r="20" spans="2:38">
      <c r="B20" t="s">
        <v>154</v>
      </c>
      <c r="C20" s="4" t="s">
        <v>276</v>
      </c>
      <c r="M20">
        <v>79</v>
      </c>
      <c r="N20" s="1">
        <v>55</v>
      </c>
      <c r="O20" s="4">
        <f>M20*N20</f>
        <v>4345</v>
      </c>
    </row>
    <row r="21" spans="2:38">
      <c r="B21" t="s">
        <v>154</v>
      </c>
      <c r="C21" s="4" t="s">
        <v>245</v>
      </c>
      <c r="M21">
        <v>81.3</v>
      </c>
      <c r="N21" s="1">
        <f>47.008547009*1.17</f>
        <v>55.000000000529994</v>
      </c>
      <c r="O21" s="4">
        <f>M21*N21</f>
        <v>4471.5000000430882</v>
      </c>
      <c r="V21" s="23">
        <v>80.900000000000006</v>
      </c>
      <c r="W21" s="1">
        <f>47.008547009*1.17</f>
        <v>55.000000000529994</v>
      </c>
      <c r="AB21">
        <v>78</v>
      </c>
      <c r="AC21" s="1">
        <f>45.299145299*1.17</f>
        <v>52.999999999830003</v>
      </c>
      <c r="AE21">
        <v>80.2</v>
      </c>
      <c r="AF21" s="1">
        <f>45.299145299*1.17</f>
        <v>52.999999999830003</v>
      </c>
      <c r="AK21">
        <v>81</v>
      </c>
      <c r="AL21" s="1">
        <f>45.299145299*1.17</f>
        <v>52.999999999830003</v>
      </c>
    </row>
    <row r="22" spans="2:38">
      <c r="B22" t="s">
        <v>154</v>
      </c>
      <c r="C22" s="4" t="s">
        <v>155</v>
      </c>
      <c r="P22">
        <v>81.099999999999994</v>
      </c>
      <c r="Q22" s="31">
        <f>47.008547009*1.17</f>
        <v>55.000000000529994</v>
      </c>
      <c r="R22" s="25">
        <f>P22*Q22</f>
        <v>4460.5000000429818</v>
      </c>
      <c r="Y22">
        <v>73.7</v>
      </c>
      <c r="Z22" s="1">
        <f>47.008547009*1.17</f>
        <v>55.000000000529994</v>
      </c>
      <c r="AC22" s="40"/>
    </row>
    <row r="23" spans="2:38">
      <c r="B23" t="s">
        <v>154</v>
      </c>
      <c r="C23" s="4" t="s">
        <v>278</v>
      </c>
      <c r="M23">
        <v>11.6</v>
      </c>
      <c r="N23" s="1">
        <f>47.008547009*1.17</f>
        <v>55.000000000529994</v>
      </c>
      <c r="O23" s="4">
        <f>M23*N23</f>
        <v>638.00000000614796</v>
      </c>
    </row>
    <row r="24" spans="2:38">
      <c r="B24" t="s">
        <v>154</v>
      </c>
      <c r="C24" s="4" t="s">
        <v>321</v>
      </c>
      <c r="AE24">
        <v>36.4</v>
      </c>
      <c r="AF24" s="1">
        <f>45.299145299*1.17</f>
        <v>52.999999999830003</v>
      </c>
    </row>
    <row r="25" spans="2:38">
      <c r="B25" t="s">
        <v>154</v>
      </c>
      <c r="C25" s="4" t="s">
        <v>217</v>
      </c>
      <c r="J25">
        <f>67.6+74.5</f>
        <v>142.1</v>
      </c>
      <c r="K25" s="1">
        <f>42.735042735*1.17</f>
        <v>49.999999999949999</v>
      </c>
      <c r="L25" s="4">
        <f>J25*K25</f>
        <v>7104.999999992895</v>
      </c>
      <c r="M25">
        <f>80.9+80.3</f>
        <v>161.19999999999999</v>
      </c>
      <c r="N25" s="1">
        <f>42.735042735*1.17</f>
        <v>49.999999999949999</v>
      </c>
      <c r="O25" s="4">
        <f>M25*N25</f>
        <v>8059.9999999919391</v>
      </c>
      <c r="S25" s="50" t="s">
        <v>288</v>
      </c>
      <c r="T25" s="51" t="s">
        <v>287</v>
      </c>
      <c r="Y25">
        <v>79.5</v>
      </c>
      <c r="Z25" s="1">
        <f>41.025641026*1.17</f>
        <v>48.000000000420002</v>
      </c>
      <c r="AE25">
        <f>81+80.1</f>
        <v>161.1</v>
      </c>
      <c r="AF25" s="1">
        <f>41.025641026*1.17</f>
        <v>48.000000000420002</v>
      </c>
      <c r="AH25">
        <f>80.8+81</f>
        <v>161.80000000000001</v>
      </c>
      <c r="AI25" s="1">
        <f>39.316239316*1.17</f>
        <v>45.999999999719996</v>
      </c>
      <c r="AK25">
        <v>81</v>
      </c>
      <c r="AL25" s="1">
        <f>39.316239316*1.17</f>
        <v>45.999999999719996</v>
      </c>
    </row>
    <row r="26" spans="2:38">
      <c r="B26" t="s">
        <v>154</v>
      </c>
      <c r="C26" s="4" t="s">
        <v>266</v>
      </c>
      <c r="D26">
        <v>85.3</v>
      </c>
      <c r="E26" s="1">
        <f>41.025641026*1.17</f>
        <v>48.000000000420002</v>
      </c>
      <c r="F26" s="4">
        <f>D26*E26</f>
        <v>4094.400000035826</v>
      </c>
      <c r="J26">
        <f>80+162.3</f>
        <v>242.3</v>
      </c>
      <c r="K26" s="1" t="s">
        <v>273</v>
      </c>
      <c r="L26" s="4">
        <f>4000+6658.46+1131.94</f>
        <v>11790.4</v>
      </c>
      <c r="M26">
        <v>83.4</v>
      </c>
      <c r="N26" s="1">
        <f>41.025641026*1.17</f>
        <v>48.000000000420002</v>
      </c>
      <c r="O26" s="4">
        <f>M26*N26</f>
        <v>4003.2000000350286</v>
      </c>
      <c r="P26">
        <v>83.6</v>
      </c>
      <c r="Q26" s="31">
        <f>41.025641026*1.17</f>
        <v>48.000000000420002</v>
      </c>
      <c r="R26" s="25">
        <f>P26*Q26</f>
        <v>4012.8000000351117</v>
      </c>
      <c r="AH26">
        <v>81.400000000000006</v>
      </c>
      <c r="AI26" s="1">
        <f>38.461538462*1.17</f>
        <v>45.000000000539998</v>
      </c>
    </row>
    <row r="27" spans="2:38">
      <c r="B27" t="s">
        <v>154</v>
      </c>
      <c r="C27" s="4" t="s">
        <v>126</v>
      </c>
      <c r="Y27">
        <v>82.5</v>
      </c>
      <c r="Z27" s="1">
        <f>39.316239316*1.17</f>
        <v>45.999999999719996</v>
      </c>
    </row>
    <row r="28" spans="2:38">
      <c r="B28" s="124" t="s">
        <v>154</v>
      </c>
      <c r="C28" s="124" t="s">
        <v>291</v>
      </c>
      <c r="H28" s="58"/>
      <c r="I28" s="59"/>
      <c r="J28" s="59"/>
      <c r="K28" s="58"/>
      <c r="L28" s="59"/>
      <c r="M28" s="59"/>
      <c r="N28" s="58"/>
      <c r="O28" s="59"/>
      <c r="P28" s="59"/>
      <c r="Q28" s="60"/>
      <c r="R28" s="61"/>
      <c r="S28" s="62"/>
      <c r="T28" s="63"/>
      <c r="U28" s="62"/>
      <c r="V28" s="61">
        <f>83.3</f>
        <v>83.3</v>
      </c>
      <c r="W28" s="58">
        <f>39.316239316*1.17</f>
        <v>45.999999999719996</v>
      </c>
      <c r="X28" s="61"/>
    </row>
    <row r="29" spans="2:38">
      <c r="B29" s="124"/>
      <c r="C29" s="124"/>
      <c r="H29" s="58"/>
      <c r="I29" s="59"/>
      <c r="J29" s="59"/>
      <c r="K29" s="58"/>
      <c r="L29" s="59"/>
      <c r="M29" s="59"/>
      <c r="N29" s="58"/>
      <c r="O29" s="59"/>
      <c r="P29" s="59"/>
      <c r="Q29" s="60"/>
      <c r="R29" s="61"/>
      <c r="S29" s="62"/>
      <c r="T29" s="63"/>
      <c r="U29" s="62"/>
      <c r="V29" s="61">
        <v>234.9</v>
      </c>
      <c r="W29" s="58">
        <f>41.025641026*1.17</f>
        <v>48.000000000420002</v>
      </c>
      <c r="X29" s="61"/>
    </row>
    <row r="30" spans="2:38">
      <c r="B30" t="s">
        <v>154</v>
      </c>
      <c r="C30" s="4" t="s">
        <v>269</v>
      </c>
      <c r="D30">
        <v>85.3</v>
      </c>
      <c r="E30" s="1">
        <v>48</v>
      </c>
      <c r="F30" s="4">
        <f>D30*E30</f>
        <v>4094.3999999999996</v>
      </c>
    </row>
    <row r="31" spans="2:38">
      <c r="B31" t="s">
        <v>154</v>
      </c>
      <c r="C31" s="4" t="s">
        <v>275</v>
      </c>
      <c r="M31">
        <v>83.2</v>
      </c>
      <c r="N31" s="1">
        <f>41.025641026*1.17</f>
        <v>48.000000000420002</v>
      </c>
      <c r="O31" s="4">
        <f>M31*N31</f>
        <v>3993.6000000349441</v>
      </c>
    </row>
    <row r="32" spans="2:38">
      <c r="B32" t="s">
        <v>109</v>
      </c>
      <c r="C32" s="4" t="s">
        <v>108</v>
      </c>
      <c r="P32">
        <v>6.83</v>
      </c>
      <c r="Q32" s="31">
        <f>53.846153846*1.17</f>
        <v>62.999999999819998</v>
      </c>
      <c r="R32" s="25">
        <f>P32*Q32</f>
        <v>430.28999999877061</v>
      </c>
    </row>
    <row r="33" spans="1:38">
      <c r="A33" s="13"/>
      <c r="B33" t="s">
        <v>194</v>
      </c>
      <c r="C33" s="4" t="s">
        <v>195</v>
      </c>
      <c r="D33" s="13"/>
      <c r="E33" s="16"/>
      <c r="G33" s="13"/>
      <c r="H33" s="16"/>
      <c r="J33" s="13">
        <v>40.299999999999997</v>
      </c>
      <c r="K33" s="16">
        <f>17.094017094*1.17</f>
        <v>19.999999999980002</v>
      </c>
      <c r="L33" s="4">
        <f>J33*K33</f>
        <v>805.99999999919396</v>
      </c>
      <c r="M33" s="13"/>
      <c r="N33" s="16"/>
      <c r="P33" s="13"/>
      <c r="Q33" s="30"/>
      <c r="S33" s="48">
        <v>39.4</v>
      </c>
      <c r="T33" s="49">
        <f>17.094017094*1.17</f>
        <v>19.999999999980002</v>
      </c>
      <c r="V33" s="22"/>
      <c r="W33" s="16"/>
      <c r="Y33" s="13"/>
      <c r="Z33" s="16"/>
      <c r="AB33" s="13"/>
      <c r="AC33" s="16"/>
      <c r="AE33" s="13"/>
      <c r="AF33" s="16"/>
      <c r="AH33" s="13"/>
      <c r="AI33" s="16"/>
      <c r="AK33" s="13"/>
      <c r="AL33" s="16"/>
    </row>
    <row r="34" spans="1:38">
      <c r="B34" t="s">
        <v>135</v>
      </c>
      <c r="C34" s="4" t="s">
        <v>156</v>
      </c>
    </row>
    <row r="35" spans="1:38">
      <c r="B35" t="s">
        <v>135</v>
      </c>
      <c r="C35" s="4" t="s">
        <v>136</v>
      </c>
    </row>
    <row r="36" spans="1:38">
      <c r="B36" t="s">
        <v>3</v>
      </c>
      <c r="C36" s="4" t="s">
        <v>151</v>
      </c>
      <c r="D36" s="3"/>
    </row>
    <row r="37" spans="1:38">
      <c r="B37" t="s">
        <v>3</v>
      </c>
      <c r="C37" s="4" t="s">
        <v>187</v>
      </c>
    </row>
    <row r="38" spans="1:38">
      <c r="B38" t="s">
        <v>3</v>
      </c>
      <c r="C38" s="4" t="s">
        <v>132</v>
      </c>
    </row>
    <row r="39" spans="1:38">
      <c r="B39" t="s">
        <v>3</v>
      </c>
      <c r="C39" s="4" t="s">
        <v>77</v>
      </c>
      <c r="Y39">
        <v>5.45</v>
      </c>
      <c r="Z39" s="1">
        <f>53.846153846*1.17</f>
        <v>62.999999999819998</v>
      </c>
    </row>
    <row r="40" spans="1:38">
      <c r="B40" t="s">
        <v>3</v>
      </c>
      <c r="C40" s="4" t="s">
        <v>188</v>
      </c>
    </row>
    <row r="41" spans="1:38">
      <c r="B41" t="s">
        <v>3</v>
      </c>
      <c r="C41" s="4" t="s">
        <v>159</v>
      </c>
    </row>
    <row r="42" spans="1:38">
      <c r="B42" t="s">
        <v>3</v>
      </c>
      <c r="C42" s="4" t="s">
        <v>4</v>
      </c>
      <c r="D42">
        <f>60.87+38.67</f>
        <v>99.539999999999992</v>
      </c>
      <c r="E42" s="1">
        <f>128.20512821*1.17</f>
        <v>150.0000000057</v>
      </c>
      <c r="F42" s="4">
        <f>D42*E42</f>
        <v>14931.000000567377</v>
      </c>
      <c r="J42">
        <v>101.08</v>
      </c>
      <c r="K42" s="1">
        <f>128.20512821*1.17</f>
        <v>150.0000000057</v>
      </c>
      <c r="L42" s="4">
        <f>J42*K42</f>
        <v>15162.000000576156</v>
      </c>
      <c r="Y42">
        <v>46.96</v>
      </c>
      <c r="Z42" s="1">
        <f>128.20512821*1.17</f>
        <v>150.0000000057</v>
      </c>
      <c r="AE42">
        <v>62.46</v>
      </c>
      <c r="AF42" s="1">
        <f>128.20512821*1.17</f>
        <v>150.0000000057</v>
      </c>
      <c r="AH42">
        <v>49</v>
      </c>
      <c r="AI42" s="1">
        <f>119.65811966*1.17</f>
        <v>140.00000000219998</v>
      </c>
    </row>
    <row r="43" spans="1:38">
      <c r="B43" t="s">
        <v>3</v>
      </c>
      <c r="C43" s="4" t="s">
        <v>107</v>
      </c>
    </row>
    <row r="44" spans="1:38">
      <c r="B44" t="s">
        <v>220</v>
      </c>
      <c r="C44" s="4" t="s">
        <v>221</v>
      </c>
    </row>
    <row r="45" spans="1:38">
      <c r="B45" t="s">
        <v>3</v>
      </c>
      <c r="C45" s="4" t="s">
        <v>8</v>
      </c>
      <c r="J45">
        <v>104.45</v>
      </c>
      <c r="K45" s="1">
        <f>53.846153846*1.17</f>
        <v>62.999999999819998</v>
      </c>
      <c r="L45" s="4">
        <f>J45*K45</f>
        <v>6580.3499999811993</v>
      </c>
      <c r="P45">
        <v>39.46</v>
      </c>
      <c r="Q45" s="31">
        <f>53.846153846*1.17</f>
        <v>62.999999999819998</v>
      </c>
      <c r="R45" s="25">
        <f>P45*Q45</f>
        <v>2485.9799999928973</v>
      </c>
      <c r="V45" s="23">
        <v>105.65</v>
      </c>
      <c r="W45" s="1">
        <f>53.846153846*1.17</f>
        <v>62.999999999819998</v>
      </c>
      <c r="AB45">
        <v>50.88</v>
      </c>
      <c r="AC45" s="1">
        <f>51.282051282*1.17</f>
        <v>59.999999999939995</v>
      </c>
      <c r="AE45">
        <v>50.8</v>
      </c>
      <c r="AF45" s="1">
        <f>51.282051282*1.17</f>
        <v>59.999999999939995</v>
      </c>
      <c r="AH45">
        <v>103.1</v>
      </c>
      <c r="AI45" s="1">
        <f>51.282051282*1.17</f>
        <v>59.999999999939995</v>
      </c>
    </row>
    <row r="46" spans="1:38">
      <c r="B46" t="s">
        <v>133</v>
      </c>
      <c r="C46" s="4" t="s">
        <v>158</v>
      </c>
    </row>
    <row r="47" spans="1:38">
      <c r="B47" t="s">
        <v>133</v>
      </c>
      <c r="C47" s="4" t="s">
        <v>138</v>
      </c>
    </row>
    <row r="48" spans="1:38">
      <c r="B48" t="s">
        <v>133</v>
      </c>
      <c r="C48" s="4" t="s">
        <v>225</v>
      </c>
      <c r="M48">
        <v>9.18</v>
      </c>
      <c r="N48" s="1">
        <f>41.025641026*1.17</f>
        <v>48.000000000420002</v>
      </c>
      <c r="O48" s="4">
        <f>M48*N48</f>
        <v>440.64000000385562</v>
      </c>
    </row>
    <row r="49" spans="2:38">
      <c r="B49" t="s">
        <v>133</v>
      </c>
      <c r="C49" s="4" t="s">
        <v>134</v>
      </c>
    </row>
    <row r="50" spans="2:38">
      <c r="B50" t="s">
        <v>133</v>
      </c>
      <c r="C50" s="4" t="s">
        <v>244</v>
      </c>
    </row>
    <row r="51" spans="2:38">
      <c r="B51" t="s">
        <v>2</v>
      </c>
      <c r="C51" s="4" t="s">
        <v>227</v>
      </c>
    </row>
    <row r="52" spans="2:38">
      <c r="B52" t="s">
        <v>2</v>
      </c>
      <c r="C52" s="4" t="s">
        <v>280</v>
      </c>
      <c r="M52">
        <v>3.14</v>
      </c>
      <c r="N52" s="1">
        <f>76.923076923*1.17</f>
        <v>89.999999999909988</v>
      </c>
      <c r="O52" s="4">
        <f>M52*N52</f>
        <v>282.5999999997174</v>
      </c>
    </row>
    <row r="53" spans="2:38">
      <c r="B53" t="s">
        <v>2</v>
      </c>
      <c r="C53" s="4" t="s">
        <v>65</v>
      </c>
    </row>
    <row r="54" spans="2:38">
      <c r="B54" t="s">
        <v>2</v>
      </c>
      <c r="C54" s="4" t="s">
        <v>130</v>
      </c>
    </row>
    <row r="55" spans="2:38">
      <c r="B55" t="s">
        <v>2</v>
      </c>
      <c r="C55" s="4" t="s">
        <v>196</v>
      </c>
      <c r="E55" s="19"/>
    </row>
    <row r="56" spans="2:38">
      <c r="B56" t="s">
        <v>2</v>
      </c>
      <c r="C56" s="4" t="s">
        <v>184</v>
      </c>
    </row>
    <row r="57" spans="2:38">
      <c r="B57" t="s">
        <v>2</v>
      </c>
      <c r="C57" s="4" t="s">
        <v>213</v>
      </c>
    </row>
    <row r="58" spans="2:38">
      <c r="B58" t="s">
        <v>2</v>
      </c>
      <c r="C58" s="4" t="s">
        <v>193</v>
      </c>
      <c r="E58" s="19"/>
    </row>
    <row r="59" spans="2:38">
      <c r="B59" t="s">
        <v>2</v>
      </c>
      <c r="C59" s="4" t="s">
        <v>327</v>
      </c>
      <c r="E59" s="19"/>
      <c r="AK59">
        <v>10.220000000000001</v>
      </c>
      <c r="AL59" s="1">
        <f>58.11965812*1.17</f>
        <v>68.000000000399993</v>
      </c>
    </row>
    <row r="60" spans="2:38">
      <c r="B60" t="s">
        <v>2</v>
      </c>
      <c r="C60" s="4" t="s">
        <v>217</v>
      </c>
    </row>
    <row r="61" spans="2:38">
      <c r="B61" t="s">
        <v>2</v>
      </c>
      <c r="C61" s="4" t="s">
        <v>277</v>
      </c>
      <c r="M61">
        <v>10.68</v>
      </c>
      <c r="N61" s="1">
        <f>52.136752137*1.17</f>
        <v>61.000000000290001</v>
      </c>
      <c r="O61" s="4">
        <f>M61*N61</f>
        <v>651.48000000309719</v>
      </c>
    </row>
    <row r="62" spans="2:38">
      <c r="B62" t="s">
        <v>2</v>
      </c>
      <c r="C62" s="4" t="s">
        <v>214</v>
      </c>
      <c r="E62" s="19"/>
    </row>
    <row r="63" spans="2:38">
      <c r="B63" t="s">
        <v>2</v>
      </c>
      <c r="C63" s="4" t="s">
        <v>216</v>
      </c>
    </row>
    <row r="64" spans="2:38">
      <c r="B64" t="s">
        <v>2</v>
      </c>
      <c r="C64" s="4" t="s">
        <v>137</v>
      </c>
    </row>
    <row r="65" spans="2:37">
      <c r="B65" t="s">
        <v>2</v>
      </c>
      <c r="C65" s="4" t="s">
        <v>191</v>
      </c>
      <c r="E65" s="19"/>
    </row>
    <row r="66" spans="2:37">
      <c r="B66" t="s">
        <v>189</v>
      </c>
      <c r="C66" s="4" t="s">
        <v>286</v>
      </c>
      <c r="S66" s="50">
        <v>11.21</v>
      </c>
      <c r="T66" s="51">
        <f>76.923076923*1.17</f>
        <v>89.999999999909988</v>
      </c>
    </row>
    <row r="67" spans="2:37">
      <c r="B67" t="s">
        <v>189</v>
      </c>
      <c r="C67" s="4" t="s">
        <v>219</v>
      </c>
    </row>
    <row r="68" spans="2:37">
      <c r="B68" t="s">
        <v>189</v>
      </c>
      <c r="C68" s="4" t="s">
        <v>190</v>
      </c>
    </row>
    <row r="69" spans="2:37">
      <c r="B69" t="s">
        <v>166</v>
      </c>
      <c r="C69" s="4" t="s">
        <v>167</v>
      </c>
    </row>
    <row r="70" spans="2:37">
      <c r="B70" t="s">
        <v>102</v>
      </c>
      <c r="C70" s="4" t="s">
        <v>192</v>
      </c>
    </row>
    <row r="71" spans="2:37">
      <c r="B71" t="s">
        <v>102</v>
      </c>
      <c r="C71" s="4" t="s">
        <v>199</v>
      </c>
    </row>
    <row r="72" spans="2:37">
      <c r="B72" t="s">
        <v>102</v>
      </c>
      <c r="C72" s="4" t="s">
        <v>103</v>
      </c>
    </row>
    <row r="73" spans="2:37">
      <c r="B73" t="s">
        <v>49</v>
      </c>
      <c r="C73" s="4" t="s">
        <v>131</v>
      </c>
    </row>
    <row r="74" spans="2:37">
      <c r="B74" t="s">
        <v>49</v>
      </c>
      <c r="C74" s="4" t="s">
        <v>106</v>
      </c>
      <c r="D74">
        <v>232.2</v>
      </c>
      <c r="E74" s="1">
        <f>12.820512821*1.17</f>
        <v>15.000000000569999</v>
      </c>
      <c r="F74" s="4">
        <f>D74*E74</f>
        <v>3483.0000001323538</v>
      </c>
      <c r="J74">
        <v>148</v>
      </c>
      <c r="K74" s="1">
        <v>15</v>
      </c>
      <c r="L74" s="4">
        <f>J74*K74</f>
        <v>2220</v>
      </c>
      <c r="AK74" s="8"/>
    </row>
    <row r="75" spans="2:37">
      <c r="B75" t="s">
        <v>49</v>
      </c>
      <c r="C75" s="4" t="s">
        <v>260</v>
      </c>
      <c r="D75">
        <v>464.4</v>
      </c>
      <c r="E75" s="1">
        <v>15</v>
      </c>
      <c r="F75" s="4">
        <f>D75*E75</f>
        <v>6966</v>
      </c>
      <c r="J75">
        <v>464.4</v>
      </c>
      <c r="K75" s="1">
        <v>15</v>
      </c>
      <c r="L75" s="4">
        <f>J75*K75</f>
        <v>6966</v>
      </c>
      <c r="M75">
        <v>368.8</v>
      </c>
      <c r="N75" s="1">
        <f>12.820512821*1.17</f>
        <v>15.000000000569999</v>
      </c>
      <c r="O75" s="4">
        <f>M75*N75</f>
        <v>5532.0000002102161</v>
      </c>
    </row>
    <row r="76" spans="2:37">
      <c r="B76" t="s">
        <v>49</v>
      </c>
      <c r="C76" s="4" t="s">
        <v>110</v>
      </c>
      <c r="D76">
        <v>77.400000000000006</v>
      </c>
      <c r="E76" s="1">
        <v>15</v>
      </c>
      <c r="F76" s="4">
        <f>D76*E76</f>
        <v>1161</v>
      </c>
      <c r="J76">
        <v>306.2</v>
      </c>
      <c r="K76" s="1">
        <f>12.820512821*1.17</f>
        <v>15.000000000569999</v>
      </c>
      <c r="L76" s="4">
        <f>J76*K76</f>
        <v>4593.0000001745339</v>
      </c>
    </row>
    <row r="77" spans="2:37">
      <c r="B77" t="s">
        <v>49</v>
      </c>
      <c r="C77" s="4" t="s">
        <v>65</v>
      </c>
      <c r="E77" s="19"/>
    </row>
    <row r="78" spans="2:37">
      <c r="B78" t="s">
        <v>49</v>
      </c>
      <c r="C78" s="4" t="s">
        <v>74</v>
      </c>
    </row>
    <row r="79" spans="2:37">
      <c r="B79" t="s">
        <v>49</v>
      </c>
      <c r="C79" s="4" t="s">
        <v>50</v>
      </c>
    </row>
    <row r="80" spans="2:37">
      <c r="B80" t="s">
        <v>49</v>
      </c>
      <c r="C80" s="4" t="s">
        <v>130</v>
      </c>
    </row>
    <row r="81" spans="1:39">
      <c r="B81" t="s">
        <v>49</v>
      </c>
      <c r="C81" s="4" t="s">
        <v>48</v>
      </c>
    </row>
    <row r="82" spans="1:39">
      <c r="B82" t="s">
        <v>49</v>
      </c>
      <c r="C82" s="4" t="s">
        <v>73</v>
      </c>
    </row>
    <row r="83" spans="1:39">
      <c r="B83" t="s">
        <v>49</v>
      </c>
      <c r="C83" s="4" t="s">
        <v>266</v>
      </c>
      <c r="D83">
        <v>85.3</v>
      </c>
      <c r="E83" s="1">
        <f>41.025641026*1.17</f>
        <v>48.000000000420002</v>
      </c>
      <c r="F83" s="4">
        <f>D83*E83</f>
        <v>4094.400000035826</v>
      </c>
      <c r="J83">
        <f>80+162.3</f>
        <v>242.3</v>
      </c>
      <c r="K83" s="1" t="s">
        <v>273</v>
      </c>
      <c r="S83" s="50">
        <v>160.1</v>
      </c>
      <c r="T83" s="51">
        <f>10.256410256*1.17</f>
        <v>11.99999999952</v>
      </c>
    </row>
    <row r="84" spans="1:39">
      <c r="D84" s="3"/>
    </row>
    <row r="85" spans="1:39" s="5" customFormat="1">
      <c r="C85" s="7"/>
      <c r="E85" s="17"/>
      <c r="F85" s="9"/>
      <c r="H85" s="17"/>
      <c r="I85" s="7"/>
      <c r="K85" s="17"/>
      <c r="L85" s="9">
        <f>SUM(L4:L84)</f>
        <v>55222.750000723972</v>
      </c>
      <c r="N85" s="17"/>
      <c r="O85" s="7">
        <f>SUM(O3:O84)</f>
        <v>70645.520000148055</v>
      </c>
      <c r="Q85" s="32"/>
      <c r="R85" s="9">
        <f>SUM(R3:R84)</f>
        <v>23450.770000017503</v>
      </c>
      <c r="S85" s="52"/>
      <c r="T85" s="53"/>
      <c r="U85" s="54"/>
      <c r="V85" s="24"/>
      <c r="W85" s="17"/>
      <c r="X85" s="9"/>
      <c r="Z85" s="17"/>
      <c r="AA85" s="7"/>
      <c r="AC85" s="17"/>
      <c r="AD85" s="7"/>
      <c r="AF85" s="17"/>
      <c r="AG85" s="7"/>
      <c r="AI85" s="17"/>
      <c r="AJ85" s="7"/>
      <c r="AL85" s="17"/>
      <c r="AM85" s="7"/>
    </row>
    <row r="86" spans="1:39" ht="8.25" customHeight="1"/>
    <row r="87" spans="1:39" s="10" customFormat="1">
      <c r="A87" t="s">
        <v>9</v>
      </c>
      <c r="B87" s="10" t="s">
        <v>117</v>
      </c>
      <c r="C87" s="11" t="s">
        <v>122</v>
      </c>
      <c r="E87" s="15"/>
      <c r="F87" s="11"/>
      <c r="H87" s="15"/>
      <c r="I87" s="11"/>
      <c r="K87" s="15"/>
      <c r="L87" s="11"/>
      <c r="N87" s="15"/>
      <c r="O87" s="11"/>
      <c r="Q87" s="29"/>
      <c r="R87" s="26"/>
      <c r="S87" s="45"/>
      <c r="T87" s="46"/>
      <c r="U87" s="47"/>
      <c r="V87" s="21"/>
      <c r="W87" s="15"/>
      <c r="X87" s="26"/>
      <c r="Z87" s="15"/>
      <c r="AA87" s="11"/>
      <c r="AC87" s="15"/>
      <c r="AD87" s="11"/>
      <c r="AF87" s="15"/>
      <c r="AG87" s="11"/>
      <c r="AI87" s="15"/>
      <c r="AJ87" s="11"/>
      <c r="AL87" s="15"/>
      <c r="AM87" s="11"/>
    </row>
    <row r="88" spans="1:39">
      <c r="B88" t="s">
        <v>10</v>
      </c>
      <c r="C88" s="4" t="s">
        <v>93</v>
      </c>
    </row>
    <row r="89" spans="1:39">
      <c r="B89" t="s">
        <v>117</v>
      </c>
      <c r="C89" s="4" t="s">
        <v>121</v>
      </c>
    </row>
    <row r="90" spans="1:39">
      <c r="B90" t="s">
        <v>10</v>
      </c>
      <c r="C90" s="4" t="s">
        <v>99</v>
      </c>
    </row>
    <row r="91" spans="1:39">
      <c r="B91" t="s">
        <v>10</v>
      </c>
      <c r="C91" s="4" t="s">
        <v>96</v>
      </c>
      <c r="V91" s="23">
        <v>35.200000000000003</v>
      </c>
      <c r="W91" s="1">
        <f>49.572649573*1.17</f>
        <v>58.000000000409997</v>
      </c>
    </row>
    <row r="92" spans="1:39">
      <c r="B92" t="s">
        <v>10</v>
      </c>
      <c r="C92" s="4" t="s">
        <v>92</v>
      </c>
    </row>
    <row r="93" spans="1:39">
      <c r="B93" t="s">
        <v>320</v>
      </c>
      <c r="C93" s="4" t="s">
        <v>95</v>
      </c>
    </row>
    <row r="94" spans="1:39">
      <c r="B94" t="s">
        <v>10</v>
      </c>
      <c r="C94" s="4" t="s">
        <v>153</v>
      </c>
    </row>
    <row r="95" spans="1:39">
      <c r="B95" t="s">
        <v>117</v>
      </c>
      <c r="C95" s="4" t="s">
        <v>118</v>
      </c>
      <c r="S95" s="50">
        <v>65.2</v>
      </c>
      <c r="T95" s="51">
        <f>59.8290598*1.17</f>
        <v>69.999999966000004</v>
      </c>
      <c r="AE95">
        <v>80.900000000000006</v>
      </c>
      <c r="AF95" s="1">
        <f>59.829059829*1.17</f>
        <v>69.999999999929997</v>
      </c>
      <c r="AH95">
        <v>63.2</v>
      </c>
      <c r="AI95" s="1">
        <f>59.829059829*1.17</f>
        <v>69.999999999929997</v>
      </c>
    </row>
    <row r="96" spans="1:39">
      <c r="B96" t="s">
        <v>10</v>
      </c>
      <c r="C96" s="4" t="s">
        <v>97</v>
      </c>
      <c r="T96" s="51">
        <f>59.8290598*1.17</f>
        <v>69.999999966000004</v>
      </c>
    </row>
    <row r="97" spans="2:38">
      <c r="B97" t="s">
        <v>10</v>
      </c>
      <c r="C97" s="4" t="s">
        <v>45</v>
      </c>
    </row>
    <row r="98" spans="2:38">
      <c r="B98" t="s">
        <v>10</v>
      </c>
      <c r="C98" s="4" t="s">
        <v>91</v>
      </c>
    </row>
    <row r="99" spans="2:38">
      <c r="B99" t="s">
        <v>10</v>
      </c>
      <c r="C99" s="4" t="s">
        <v>44</v>
      </c>
    </row>
    <row r="100" spans="2:38">
      <c r="B100" t="s">
        <v>10</v>
      </c>
      <c r="C100" s="4" t="s">
        <v>124</v>
      </c>
      <c r="AK100">
        <v>39.4</v>
      </c>
      <c r="AL100" s="1">
        <f>64.102564103*1.17</f>
        <v>75.000000000509999</v>
      </c>
    </row>
    <row r="101" spans="2:38">
      <c r="B101" t="s">
        <v>10</v>
      </c>
      <c r="C101" s="4" t="s">
        <v>94</v>
      </c>
    </row>
    <row r="102" spans="2:38">
      <c r="B102" t="s">
        <v>10</v>
      </c>
      <c r="C102" s="4" t="s">
        <v>89</v>
      </c>
    </row>
    <row r="103" spans="2:38">
      <c r="B103" t="s">
        <v>10</v>
      </c>
      <c r="C103" s="4" t="s">
        <v>98</v>
      </c>
    </row>
    <row r="104" spans="2:38">
      <c r="B104" t="s">
        <v>10</v>
      </c>
      <c r="C104" s="4" t="s">
        <v>11</v>
      </c>
      <c r="G104">
        <v>74.900000000000006</v>
      </c>
      <c r="H104" s="1">
        <f>70.94017094*1.17</f>
        <v>82.999999999799996</v>
      </c>
      <c r="I104" s="4">
        <f>G104*H104</f>
        <v>6216.6999999850204</v>
      </c>
      <c r="J104">
        <v>83.5</v>
      </c>
      <c r="K104" s="1">
        <v>83</v>
      </c>
      <c r="L104" s="4">
        <f>J104*K104</f>
        <v>6930.5</v>
      </c>
      <c r="P104">
        <v>148.9</v>
      </c>
      <c r="Q104" s="31">
        <f>70.94017094*1.17</f>
        <v>82.999999999799996</v>
      </c>
      <c r="R104" s="25">
        <f>P104*Q104</f>
        <v>12358.69999997022</v>
      </c>
      <c r="S104" s="50">
        <v>409.2</v>
      </c>
      <c r="T104" s="51">
        <f>70.94017*1.17</f>
        <v>82.999998899999994</v>
      </c>
      <c r="Y104">
        <v>80.5</v>
      </c>
      <c r="Z104" s="1">
        <f>64.102564103*1.17</f>
        <v>75.000000000509999</v>
      </c>
      <c r="AB104">
        <v>82.1</v>
      </c>
      <c r="AC104" s="1">
        <f>64.102564103*1.17</f>
        <v>75.000000000509999</v>
      </c>
      <c r="AE104">
        <v>224.4</v>
      </c>
      <c r="AF104" s="1">
        <f>64.102564103*1.17</f>
        <v>75.000000000509999</v>
      </c>
      <c r="AH104">
        <f>82.8+79.3</f>
        <v>162.1</v>
      </c>
      <c r="AI104" s="1">
        <f>64.102564103*1.17</f>
        <v>75.000000000509999</v>
      </c>
      <c r="AK104">
        <v>51.7</v>
      </c>
      <c r="AL104" s="1">
        <f>64.102564103*1.17</f>
        <v>75.000000000509999</v>
      </c>
    </row>
    <row r="105" spans="2:38">
      <c r="B105" t="s">
        <v>10</v>
      </c>
      <c r="C105" s="4" t="s">
        <v>250</v>
      </c>
      <c r="Y105">
        <v>79.3</v>
      </c>
      <c r="Z105" s="1">
        <f>79.487179487*1.17</f>
        <v>92.999999999790006</v>
      </c>
      <c r="AH105">
        <v>81.8</v>
      </c>
      <c r="AI105" s="1">
        <f>59.829059829*1.17</f>
        <v>69.999999999929997</v>
      </c>
    </row>
    <row r="106" spans="2:38">
      <c r="B106" t="s">
        <v>10</v>
      </c>
      <c r="C106" s="4" t="s">
        <v>47</v>
      </c>
    </row>
    <row r="107" spans="2:38">
      <c r="B107" t="s">
        <v>10</v>
      </c>
      <c r="C107" s="4" t="s">
        <v>46</v>
      </c>
      <c r="D107">
        <v>83</v>
      </c>
      <c r="E107" s="1">
        <f>82.051282051*1.17</f>
        <v>95.999999999669996</v>
      </c>
      <c r="F107" s="4">
        <f>D107*E107</f>
        <v>7967.9999999726097</v>
      </c>
      <c r="G107">
        <v>73.5</v>
      </c>
      <c r="H107" s="1">
        <f>82.051282051*1.17</f>
        <v>95.999999999669996</v>
      </c>
      <c r="I107" s="4">
        <f>G107*H107</f>
        <v>7055.9999999757447</v>
      </c>
      <c r="J107">
        <v>72.099999999999994</v>
      </c>
      <c r="K107" s="1">
        <v>96</v>
      </c>
      <c r="L107" s="4">
        <f>J107*K107</f>
        <v>6921.5999999999995</v>
      </c>
      <c r="M107">
        <v>84.4</v>
      </c>
      <c r="N107" s="1">
        <f>82.051282051*1.17</f>
        <v>95.999999999669996</v>
      </c>
      <c r="O107" s="4">
        <f>M107*N107</f>
        <v>8102.3999999721482</v>
      </c>
      <c r="P107">
        <v>77.099999999999994</v>
      </c>
      <c r="Q107" s="31">
        <f>82.051282051*1.17</f>
        <v>95.999999999669996</v>
      </c>
      <c r="R107" s="25">
        <v>7401.6</v>
      </c>
      <c r="S107" s="50">
        <v>152.6</v>
      </c>
      <c r="T107" s="51">
        <f>82.051282*1.17</f>
        <v>95.999999939999995</v>
      </c>
      <c r="V107" s="23">
        <v>78.900000000000006</v>
      </c>
      <c r="W107" s="1">
        <v>93</v>
      </c>
      <c r="Y107">
        <v>75.400000000000006</v>
      </c>
      <c r="Z107" s="1">
        <v>93</v>
      </c>
      <c r="AE107">
        <v>76.099999999999994</v>
      </c>
      <c r="AF107" s="1">
        <f>59.829059829*1.17</f>
        <v>69.999999999929997</v>
      </c>
      <c r="AH107">
        <f>148.8+160</f>
        <v>308.8</v>
      </c>
      <c r="AI107" s="1">
        <f>59.829059829*1.17</f>
        <v>69.999999999929997</v>
      </c>
      <c r="AK107">
        <v>72.7</v>
      </c>
      <c r="AL107" s="1">
        <f>59.829059829*1.17</f>
        <v>69.999999999929997</v>
      </c>
    </row>
    <row r="108" spans="2:38">
      <c r="B108" t="s">
        <v>10</v>
      </c>
      <c r="C108" s="4" t="s">
        <v>236</v>
      </c>
    </row>
    <row r="109" spans="2:38">
      <c r="B109" t="s">
        <v>10</v>
      </c>
      <c r="C109" s="4" t="s">
        <v>237</v>
      </c>
    </row>
    <row r="110" spans="2:38">
      <c r="B110" t="s">
        <v>10</v>
      </c>
      <c r="C110" s="4" t="s">
        <v>251</v>
      </c>
    </row>
    <row r="111" spans="2:38">
      <c r="B111" t="s">
        <v>10</v>
      </c>
      <c r="C111" s="4" t="s">
        <v>183</v>
      </c>
    </row>
    <row r="112" spans="2:38">
      <c r="B112" t="s">
        <v>10</v>
      </c>
      <c r="C112" s="4" t="s">
        <v>90</v>
      </c>
    </row>
    <row r="113" spans="1:39">
      <c r="B113" t="s">
        <v>10</v>
      </c>
      <c r="C113" s="4" t="s">
        <v>152</v>
      </c>
    </row>
    <row r="114" spans="1:39">
      <c r="B114" t="s">
        <v>10</v>
      </c>
      <c r="C114" s="4" t="s">
        <v>88</v>
      </c>
    </row>
    <row r="115" spans="1:39">
      <c r="B115" t="s">
        <v>10</v>
      </c>
      <c r="C115" s="4" t="s">
        <v>125</v>
      </c>
    </row>
    <row r="116" spans="1:39">
      <c r="D116" s="1"/>
      <c r="I116" s="4">
        <f>SUM(I87:I115)</f>
        <v>13272.699999960765</v>
      </c>
      <c r="L116" s="4">
        <f>SUM(L87:L115)</f>
        <v>13852.099999999999</v>
      </c>
      <c r="M116" s="4"/>
      <c r="N116" s="18"/>
      <c r="P116" s="4"/>
      <c r="Q116" s="33"/>
      <c r="R116" s="25">
        <f>SUM(R87:R115)</f>
        <v>19760.299999970222</v>
      </c>
    </row>
    <row r="117" spans="1:39" ht="6.75" customHeight="1"/>
    <row r="118" spans="1:39" s="10" customFormat="1">
      <c r="A118" s="10" t="s">
        <v>12</v>
      </c>
      <c r="B118" s="10" t="s">
        <v>13</v>
      </c>
      <c r="C118" s="11" t="s">
        <v>14</v>
      </c>
      <c r="E118" s="15"/>
      <c r="F118" s="11"/>
      <c r="H118" s="15"/>
      <c r="I118" s="11"/>
      <c r="K118" s="15"/>
      <c r="L118" s="11"/>
      <c r="N118" s="15"/>
      <c r="O118" s="11"/>
      <c r="Q118" s="29"/>
      <c r="R118" s="26"/>
      <c r="S118" s="45"/>
      <c r="T118" s="46"/>
      <c r="U118" s="47"/>
      <c r="V118" s="21"/>
      <c r="W118" s="15"/>
      <c r="X118" s="26"/>
      <c r="Z118" s="15"/>
      <c r="AA118" s="11"/>
      <c r="AC118" s="15"/>
      <c r="AD118" s="11"/>
      <c r="AF118" s="15"/>
      <c r="AG118" s="11"/>
      <c r="AI118" s="15"/>
      <c r="AJ118" s="11"/>
      <c r="AK118" s="10">
        <v>528</v>
      </c>
      <c r="AL118" s="16">
        <f>46.153846154*1.17</f>
        <v>54.000000000179995</v>
      </c>
      <c r="AM118" s="11"/>
    </row>
    <row r="119" spans="1:39" s="13" customFormat="1">
      <c r="C119" s="11" t="s">
        <v>252</v>
      </c>
      <c r="D119" s="13">
        <f>464.4+774</f>
        <v>1238.4000000000001</v>
      </c>
      <c r="E119" s="16">
        <f>50.427350427*1.17</f>
        <v>58.999999999589996</v>
      </c>
      <c r="F119" s="4">
        <f>D119*E119</f>
        <v>73065.59999949226</v>
      </c>
      <c r="H119" s="16"/>
      <c r="I119" s="4"/>
      <c r="J119" s="13">
        <v>454.2</v>
      </c>
      <c r="K119" s="16">
        <f>50.427350427*1.17</f>
        <v>58.999999999589996</v>
      </c>
      <c r="L119" s="4">
        <f>J119*K119</f>
        <v>26797.799999813775</v>
      </c>
      <c r="M119" s="13">
        <v>368.8</v>
      </c>
      <c r="N119" s="16">
        <f>50.427350427*1.17</f>
        <v>58.999999999589996</v>
      </c>
      <c r="O119" s="4">
        <f>M119*N119</f>
        <v>21759.199999848792</v>
      </c>
      <c r="P119" s="13">
        <v>154.80000000000001</v>
      </c>
      <c r="Q119" s="30">
        <f>50.427350427*1.17</f>
        <v>58.999999999589996</v>
      </c>
      <c r="R119" s="25">
        <f>P119*Q119</f>
        <v>9133.1999999365325</v>
      </c>
      <c r="S119" s="48"/>
      <c r="T119" s="49"/>
      <c r="U119" s="44"/>
      <c r="V119" s="22">
        <v>38.700000000000003</v>
      </c>
      <c r="W119" s="16">
        <f>46.153846154*1.17</f>
        <v>54.000000000179995</v>
      </c>
      <c r="X119" s="25"/>
      <c r="Z119" s="16"/>
      <c r="AA119" s="4"/>
      <c r="AB119" s="13">
        <v>346.3</v>
      </c>
      <c r="AC119" s="16">
        <f>46.153846154*1.17</f>
        <v>54.000000000179995</v>
      </c>
      <c r="AD119" s="4"/>
      <c r="AE119" s="13">
        <v>533.1</v>
      </c>
      <c r="AF119" s="16">
        <f>46.153846154*1.17</f>
        <v>54.000000000179995</v>
      </c>
      <c r="AG119" s="4"/>
      <c r="AH119" s="13">
        <v>501.1</v>
      </c>
      <c r="AI119" s="16">
        <f>46.153846154*1.17</f>
        <v>54.000000000179995</v>
      </c>
      <c r="AJ119" s="4"/>
      <c r="AK119" s="13">
        <v>116.1</v>
      </c>
      <c r="AL119" s="16">
        <f>46.153846154*1.17</f>
        <v>54.000000000179995</v>
      </c>
      <c r="AM119" s="4"/>
    </row>
    <row r="120" spans="1:39">
      <c r="C120" s="4" t="s">
        <v>32</v>
      </c>
    </row>
    <row r="121" spans="1:39">
      <c r="C121" s="4" t="s">
        <v>174</v>
      </c>
    </row>
    <row r="122" spans="1:39">
      <c r="C122" s="4" t="s">
        <v>33</v>
      </c>
      <c r="AH122">
        <v>480</v>
      </c>
      <c r="AI122" s="16">
        <f>46.153846154*1.17</f>
        <v>54.000000000179995</v>
      </c>
    </row>
    <row r="123" spans="1:39">
      <c r="C123" s="4" t="s">
        <v>56</v>
      </c>
    </row>
    <row r="124" spans="1:39">
      <c r="B124" t="s">
        <v>238</v>
      </c>
      <c r="C124" s="4" t="s">
        <v>239</v>
      </c>
    </row>
    <row r="125" spans="1:39">
      <c r="D125" s="1"/>
    </row>
    <row r="127" spans="1:39" s="10" customFormat="1">
      <c r="A127" s="10" t="s">
        <v>15</v>
      </c>
      <c r="B127" s="10" t="s">
        <v>16</v>
      </c>
      <c r="C127" s="11" t="s">
        <v>17</v>
      </c>
      <c r="E127" s="15"/>
      <c r="F127" s="11"/>
      <c r="H127" s="15"/>
      <c r="I127" s="11"/>
      <c r="K127" s="15"/>
      <c r="L127" s="11"/>
      <c r="N127" s="15"/>
      <c r="O127" s="11"/>
      <c r="Q127" s="29"/>
      <c r="R127" s="26"/>
      <c r="S127" s="45"/>
      <c r="T127" s="46"/>
      <c r="U127" s="47"/>
      <c r="V127" s="21"/>
      <c r="W127" s="15"/>
      <c r="X127" s="26"/>
      <c r="Z127" s="15"/>
      <c r="AA127" s="11"/>
      <c r="AC127" s="15"/>
      <c r="AD127" s="11"/>
      <c r="AF127" s="15"/>
      <c r="AG127" s="11"/>
      <c r="AI127" s="15"/>
      <c r="AJ127" s="11"/>
      <c r="AL127" s="15"/>
      <c r="AM127" s="11"/>
    </row>
    <row r="128" spans="1:39">
      <c r="B128" t="s">
        <v>16</v>
      </c>
      <c r="C128" s="4" t="s">
        <v>161</v>
      </c>
    </row>
    <row r="129" spans="2:38">
      <c r="B129" t="s">
        <v>16</v>
      </c>
      <c r="C129" s="4" t="s">
        <v>18</v>
      </c>
    </row>
    <row r="130" spans="2:38">
      <c r="B130" t="s">
        <v>16</v>
      </c>
      <c r="C130" s="4" t="s">
        <v>229</v>
      </c>
      <c r="D130">
        <v>80.099999999999994</v>
      </c>
      <c r="E130" s="1">
        <v>39</v>
      </c>
      <c r="F130" s="4">
        <f>D130*E130</f>
        <v>3123.8999999999996</v>
      </c>
      <c r="M130">
        <v>76.8</v>
      </c>
      <c r="N130" s="1">
        <f>30.769230769*1.17</f>
        <v>35.999999999730001</v>
      </c>
      <c r="O130" s="4">
        <f>M130*N130</f>
        <v>2764.7999999792642</v>
      </c>
      <c r="S130" s="50">
        <v>79</v>
      </c>
      <c r="T130" s="51">
        <f>30.769230769*1.17</f>
        <v>35.999999999730001</v>
      </c>
    </row>
    <row r="131" spans="2:38">
      <c r="B131" t="s">
        <v>16</v>
      </c>
      <c r="C131" s="4" t="s">
        <v>19</v>
      </c>
      <c r="J131" s="8"/>
      <c r="K131" s="14"/>
      <c r="L131" s="12"/>
    </row>
    <row r="132" spans="2:38">
      <c r="B132" t="s">
        <v>16</v>
      </c>
      <c r="C132" s="4" t="s">
        <v>105</v>
      </c>
      <c r="D132">
        <f>409+78.7</f>
        <v>487.7</v>
      </c>
      <c r="E132" s="1">
        <v>39</v>
      </c>
      <c r="F132" s="4">
        <f>D132*E132</f>
        <v>19020.3</v>
      </c>
      <c r="J132">
        <v>1050.4000000000001</v>
      </c>
      <c r="K132" s="1">
        <f>30.769230769*1.17</f>
        <v>35.999999999730001</v>
      </c>
      <c r="L132" s="4">
        <f>J132*K132</f>
        <v>37814.399999716399</v>
      </c>
      <c r="M132">
        <f>80.7+80.7+160.7</f>
        <v>322.10000000000002</v>
      </c>
      <c r="N132" s="1">
        <f>30.769230769*1.17</f>
        <v>35.999999999730001</v>
      </c>
      <c r="O132" s="4">
        <f>M132*N132</f>
        <v>11595.599999913034</v>
      </c>
      <c r="P132">
        <f>160.1+1018.9</f>
        <v>1179</v>
      </c>
      <c r="Q132" s="31">
        <v>36</v>
      </c>
      <c r="R132" s="25">
        <f>P132*Q132</f>
        <v>42444</v>
      </c>
      <c r="S132" s="50">
        <f>556.8+81.8</f>
        <v>638.59999999999991</v>
      </c>
      <c r="T132" s="51">
        <f>30.769230769*1.17</f>
        <v>35.999999999730001</v>
      </c>
      <c r="V132" s="23">
        <v>156.30000000000001</v>
      </c>
      <c r="W132" s="1">
        <v>36</v>
      </c>
      <c r="AB132">
        <f>387.9+401.7</f>
        <v>789.59999999999991</v>
      </c>
      <c r="AC132" s="1">
        <f>30.769230769*1.17</f>
        <v>35.999999999730001</v>
      </c>
      <c r="AH132" s="8"/>
      <c r="AK132" s="8">
        <f>405+402+40.4</f>
        <v>847.4</v>
      </c>
      <c r="AL132" s="1">
        <f>30.769230769*1.17</f>
        <v>35.999999999730001</v>
      </c>
    </row>
    <row r="133" spans="2:38">
      <c r="B133" t="s">
        <v>20</v>
      </c>
      <c r="C133" s="4" t="s">
        <v>21</v>
      </c>
    </row>
    <row r="134" spans="2:38">
      <c r="B134" t="s">
        <v>20</v>
      </c>
      <c r="C134" s="4" t="s">
        <v>58</v>
      </c>
    </row>
    <row r="135" spans="2:38">
      <c r="B135" t="s">
        <v>16</v>
      </c>
      <c r="C135" s="4" t="s">
        <v>270</v>
      </c>
      <c r="D135">
        <v>40.299999999999997</v>
      </c>
      <c r="E135" s="1">
        <f>33.33333333*1.17</f>
        <v>38.999999996100001</v>
      </c>
      <c r="F135" s="4">
        <f>D135*E135</f>
        <v>1571.69999984283</v>
      </c>
      <c r="P135">
        <v>39.4</v>
      </c>
      <c r="Q135" s="31">
        <v>36</v>
      </c>
      <c r="R135" s="25">
        <f>P135*Q135</f>
        <v>1418.3999999999999</v>
      </c>
    </row>
    <row r="136" spans="2:38">
      <c r="B136" t="s">
        <v>16</v>
      </c>
      <c r="C136" s="4" t="s">
        <v>34</v>
      </c>
    </row>
    <row r="137" spans="2:38">
      <c r="B137" t="s">
        <v>20</v>
      </c>
      <c r="C137" s="4" t="s">
        <v>35</v>
      </c>
    </row>
    <row r="138" spans="2:38">
      <c r="B138" t="s">
        <v>16</v>
      </c>
      <c r="C138" s="4" t="s">
        <v>35</v>
      </c>
      <c r="G138">
        <v>479.2</v>
      </c>
      <c r="H138" s="1">
        <v>39</v>
      </c>
      <c r="I138" s="4">
        <v>18688.8</v>
      </c>
      <c r="V138" s="23">
        <v>320.8</v>
      </c>
      <c r="W138" s="1">
        <f>30.769230769*1.17</f>
        <v>35.999999999730001</v>
      </c>
      <c r="AE138">
        <f>157.7+321.3</f>
        <v>479</v>
      </c>
      <c r="AF138" s="1">
        <f>30.769230769*1.17</f>
        <v>35.999999999730001</v>
      </c>
      <c r="AH138">
        <v>314.60000000000002</v>
      </c>
      <c r="AI138" s="1">
        <f>30.769230769*1.17</f>
        <v>35.999999999730001</v>
      </c>
    </row>
    <row r="139" spans="2:38">
      <c r="B139" t="s">
        <v>20</v>
      </c>
      <c r="C139" s="4" t="s">
        <v>104</v>
      </c>
    </row>
    <row r="140" spans="2:38">
      <c r="B140" t="s">
        <v>16</v>
      </c>
      <c r="C140" s="4" t="s">
        <v>104</v>
      </c>
    </row>
    <row r="141" spans="2:38">
      <c r="B141" t="s">
        <v>16</v>
      </c>
      <c r="C141" s="4" t="s">
        <v>186</v>
      </c>
    </row>
    <row r="142" spans="2:38">
      <c r="B142" t="s">
        <v>16</v>
      </c>
      <c r="C142" s="4" t="s">
        <v>282</v>
      </c>
      <c r="M142">
        <v>40.5</v>
      </c>
      <c r="N142" s="1">
        <f>30.769230769*1.17</f>
        <v>35.999999999730001</v>
      </c>
      <c r="O142" s="4">
        <f>M142*N142</f>
        <v>1457.9999999890651</v>
      </c>
      <c r="AE142">
        <v>40.1</v>
      </c>
      <c r="AF142" s="1">
        <f>30.769230769*1.17</f>
        <v>35.999999999730001</v>
      </c>
    </row>
    <row r="143" spans="2:38">
      <c r="B143" t="s">
        <v>16</v>
      </c>
      <c r="C143" s="4" t="s">
        <v>86</v>
      </c>
    </row>
    <row r="144" spans="2:38">
      <c r="B144" t="s">
        <v>16</v>
      </c>
      <c r="C144" s="4" t="s">
        <v>57</v>
      </c>
    </row>
    <row r="145" spans="1:39">
      <c r="B145" t="s">
        <v>20</v>
      </c>
      <c r="C145" s="4" t="s">
        <v>57</v>
      </c>
    </row>
    <row r="146" spans="1:39">
      <c r="B146" t="s">
        <v>16</v>
      </c>
      <c r="C146" s="4" t="s">
        <v>85</v>
      </c>
    </row>
    <row r="147" spans="1:39" s="5" customFormat="1">
      <c r="C147" s="7"/>
      <c r="D147" s="6"/>
      <c r="E147" s="17"/>
      <c r="F147" s="7"/>
      <c r="H147" s="17"/>
      <c r="I147" s="7"/>
      <c r="K147" s="17"/>
      <c r="L147" s="7"/>
      <c r="N147" s="17"/>
      <c r="O147" s="7"/>
      <c r="Q147" s="32"/>
      <c r="R147" s="9"/>
      <c r="S147" s="52"/>
      <c r="T147" s="53"/>
      <c r="U147" s="54"/>
      <c r="V147" s="24"/>
      <c r="W147" s="17"/>
      <c r="X147" s="9"/>
      <c r="Z147" s="17"/>
      <c r="AA147" s="7"/>
      <c r="AC147" s="17"/>
      <c r="AD147" s="7"/>
      <c r="AF147" s="17"/>
      <c r="AG147" s="7"/>
      <c r="AI147" s="17"/>
      <c r="AJ147" s="7"/>
      <c r="AL147" s="17"/>
      <c r="AM147" s="7"/>
    </row>
    <row r="148" spans="1:39">
      <c r="F148" s="4">
        <f>SUM(F130:F147)</f>
        <v>23715.899999842826</v>
      </c>
    </row>
    <row r="149" spans="1:39" s="10" customFormat="1">
      <c r="A149" s="10" t="s">
        <v>22</v>
      </c>
      <c r="B149" s="10" t="s">
        <v>23</v>
      </c>
      <c r="C149" s="11" t="s">
        <v>24</v>
      </c>
      <c r="E149" s="15"/>
      <c r="F149" s="11"/>
      <c r="H149" s="15"/>
      <c r="I149" s="11"/>
      <c r="K149" s="15"/>
      <c r="L149" s="11"/>
      <c r="N149" s="15"/>
      <c r="O149" s="11"/>
      <c r="Q149" s="29"/>
      <c r="R149" s="26"/>
      <c r="S149" s="45"/>
      <c r="T149" s="46"/>
      <c r="U149" s="47"/>
      <c r="V149" s="21"/>
      <c r="W149" s="15"/>
      <c r="X149" s="26"/>
      <c r="Z149" s="15"/>
      <c r="AA149" s="11"/>
      <c r="AC149" s="15"/>
      <c r="AD149" s="11"/>
      <c r="AF149" s="15"/>
      <c r="AG149" s="11"/>
      <c r="AI149" s="15"/>
      <c r="AJ149" s="11"/>
      <c r="AL149" s="15"/>
      <c r="AM149" s="11"/>
    </row>
    <row r="150" spans="1:39">
      <c r="B150" t="s">
        <v>129</v>
      </c>
      <c r="C150" s="4" t="s">
        <v>24</v>
      </c>
    </row>
    <row r="151" spans="1:39">
      <c r="B151" t="s">
        <v>53</v>
      </c>
      <c r="C151" s="4" t="s">
        <v>24</v>
      </c>
      <c r="D151">
        <f>158+76.1</f>
        <v>234.1</v>
      </c>
      <c r="E151" s="1">
        <f>13.675213675*1.17</f>
        <v>15.999999999749999</v>
      </c>
      <c r="F151" s="4">
        <f>D151*E151</f>
        <v>3745.5999999414748</v>
      </c>
      <c r="S151" s="50">
        <f>236.9+242.3</f>
        <v>479.20000000000005</v>
      </c>
      <c r="T151" s="51">
        <f>13.675213675*1.17</f>
        <v>15.999999999749999</v>
      </c>
      <c r="Y151">
        <v>161.30000000000001</v>
      </c>
      <c r="Z151" s="1">
        <v>16</v>
      </c>
      <c r="AH151">
        <v>321.39999999999998</v>
      </c>
      <c r="AI151" s="51">
        <f>13.675213675*1.17</f>
        <v>15.999999999749999</v>
      </c>
    </row>
    <row r="152" spans="1:39">
      <c r="B152" t="s">
        <v>53</v>
      </c>
      <c r="C152" s="4" t="s">
        <v>302</v>
      </c>
      <c r="Y152">
        <v>159.5</v>
      </c>
      <c r="Z152" s="1">
        <v>16</v>
      </c>
    </row>
    <row r="153" spans="1:39">
      <c r="B153" t="s">
        <v>53</v>
      </c>
      <c r="C153" s="4" t="s">
        <v>51</v>
      </c>
    </row>
    <row r="154" spans="1:39">
      <c r="B154" t="s">
        <v>53</v>
      </c>
      <c r="C154" s="4" t="s">
        <v>52</v>
      </c>
    </row>
    <row r="155" spans="1:39">
      <c r="B155" t="s">
        <v>53</v>
      </c>
      <c r="C155" s="4" t="s">
        <v>54</v>
      </c>
    </row>
    <row r="156" spans="1:39">
      <c r="B156" t="s">
        <v>53</v>
      </c>
      <c r="C156" s="4" t="s">
        <v>69</v>
      </c>
    </row>
    <row r="157" spans="1:39">
      <c r="B157" t="s">
        <v>53</v>
      </c>
      <c r="C157" s="4" t="s">
        <v>70</v>
      </c>
    </row>
    <row r="158" spans="1:39">
      <c r="B158" t="s">
        <v>53</v>
      </c>
      <c r="C158" s="4" t="s">
        <v>71</v>
      </c>
    </row>
    <row r="159" spans="1:39">
      <c r="B159" t="s">
        <v>53</v>
      </c>
      <c r="C159" s="4" t="s">
        <v>72</v>
      </c>
    </row>
    <row r="160" spans="1:39">
      <c r="B160" t="s">
        <v>53</v>
      </c>
      <c r="C160" s="4" t="s">
        <v>303</v>
      </c>
      <c r="Y160">
        <v>63.2</v>
      </c>
      <c r="Z160" s="1">
        <f>19.658119658*1.17</f>
        <v>22.999999999859998</v>
      </c>
      <c r="AH160">
        <v>63.2</v>
      </c>
      <c r="AI160" s="1">
        <f>19.658119658*1.17</f>
        <v>22.999999999859998</v>
      </c>
    </row>
    <row r="161" spans="1:39">
      <c r="B161" t="s">
        <v>79</v>
      </c>
      <c r="C161" s="4" t="s">
        <v>80</v>
      </c>
    </row>
    <row r="162" spans="1:39">
      <c r="D162" s="1"/>
    </row>
    <row r="164" spans="1:39" s="10" customFormat="1">
      <c r="A164" s="10" t="s">
        <v>26</v>
      </c>
      <c r="B164" s="10" t="s">
        <v>27</v>
      </c>
      <c r="C164" s="11" t="s">
        <v>28</v>
      </c>
      <c r="E164" s="15"/>
      <c r="F164" s="11"/>
      <c r="H164" s="15"/>
      <c r="I164" s="11"/>
      <c r="K164" s="15"/>
      <c r="L164" s="11"/>
      <c r="N164" s="15"/>
      <c r="O164" s="11"/>
      <c r="Q164" s="29"/>
      <c r="R164" s="26"/>
      <c r="S164" s="45"/>
      <c r="T164" s="46"/>
      <c r="U164" s="47"/>
      <c r="V164" s="21"/>
      <c r="W164" s="15"/>
      <c r="X164" s="26"/>
      <c r="Z164" s="15"/>
      <c r="AA164" s="11"/>
      <c r="AC164" s="15"/>
      <c r="AD164" s="11"/>
      <c r="AF164" s="15"/>
      <c r="AG164" s="11"/>
      <c r="AI164" s="15"/>
      <c r="AJ164" s="11"/>
      <c r="AL164" s="15"/>
      <c r="AM164" s="11"/>
    </row>
    <row r="165" spans="1:39" s="13" customFormat="1">
      <c r="B165" s="10" t="s">
        <v>27</v>
      </c>
      <c r="C165" s="4" t="s">
        <v>272</v>
      </c>
      <c r="E165" s="16"/>
      <c r="F165" s="4"/>
      <c r="H165" s="16"/>
      <c r="I165" s="4"/>
      <c r="J165" s="13">
        <v>81.400000000000006</v>
      </c>
      <c r="K165" s="16">
        <v>10</v>
      </c>
      <c r="L165" s="4">
        <v>814</v>
      </c>
      <c r="N165" s="16"/>
      <c r="O165" s="4"/>
      <c r="Q165" s="30"/>
      <c r="R165" s="25"/>
      <c r="S165" s="48"/>
      <c r="T165" s="49"/>
      <c r="U165" s="44"/>
      <c r="V165" s="22"/>
      <c r="W165" s="16"/>
      <c r="X165" s="25"/>
      <c r="Z165" s="16"/>
      <c r="AA165" s="4"/>
      <c r="AC165" s="16"/>
      <c r="AD165" s="4"/>
      <c r="AF165" s="16"/>
      <c r="AG165" s="4"/>
      <c r="AI165" s="16"/>
      <c r="AJ165" s="4"/>
      <c r="AL165" s="16"/>
      <c r="AM165" s="4"/>
    </row>
    <row r="166" spans="1:39">
      <c r="B166" t="s">
        <v>27</v>
      </c>
      <c r="C166" s="4" t="s">
        <v>29</v>
      </c>
    </row>
    <row r="167" spans="1:39">
      <c r="B167" t="s">
        <v>27</v>
      </c>
      <c r="C167" s="4" t="s">
        <v>112</v>
      </c>
    </row>
    <row r="168" spans="1:39">
      <c r="B168" t="s">
        <v>27</v>
      </c>
      <c r="C168" s="4" t="s">
        <v>30</v>
      </c>
    </row>
    <row r="169" spans="1:39">
      <c r="B169" t="s">
        <v>27</v>
      </c>
      <c r="C169" s="4" t="s">
        <v>87</v>
      </c>
    </row>
    <row r="170" spans="1:39">
      <c r="B170" t="s">
        <v>27</v>
      </c>
      <c r="C170" s="4" t="s">
        <v>40</v>
      </c>
      <c r="V170" s="23">
        <v>82.1</v>
      </c>
      <c r="W170" s="1">
        <f>8.54708547*1.17</f>
        <v>10.0000899999</v>
      </c>
      <c r="AB170">
        <v>82.7</v>
      </c>
      <c r="AC170" s="1">
        <v>10</v>
      </c>
    </row>
    <row r="171" spans="1:39">
      <c r="B171" t="s">
        <v>27</v>
      </c>
      <c r="C171" s="4" t="s">
        <v>31</v>
      </c>
      <c r="V171" s="23">
        <v>234.8</v>
      </c>
      <c r="W171" s="1">
        <v>10</v>
      </c>
      <c r="AB171">
        <v>80.900000000000006</v>
      </c>
      <c r="AC171" s="1">
        <v>10</v>
      </c>
    </row>
    <row r="172" spans="1:39">
      <c r="B172" t="s">
        <v>27</v>
      </c>
      <c r="C172" s="4" t="s">
        <v>38</v>
      </c>
      <c r="M172">
        <v>239.6</v>
      </c>
      <c r="N172" s="1">
        <f>8.547008547*1.17</f>
        <v>9.9999999999900009</v>
      </c>
      <c r="O172" s="4">
        <f>M172*N172</f>
        <v>2395.9999999976039</v>
      </c>
      <c r="V172" s="23">
        <v>395.8</v>
      </c>
      <c r="W172" s="1">
        <v>10</v>
      </c>
      <c r="AB172">
        <f>320.8+744.9</f>
        <v>1065.7</v>
      </c>
      <c r="AC172" s="1">
        <v>10</v>
      </c>
    </row>
    <row r="173" spans="1:39">
      <c r="B173" t="s">
        <v>27</v>
      </c>
      <c r="C173" s="4" t="s">
        <v>83</v>
      </c>
    </row>
    <row r="174" spans="1:39">
      <c r="B174" t="s">
        <v>27</v>
      </c>
      <c r="C174" s="4" t="s">
        <v>143</v>
      </c>
    </row>
    <row r="175" spans="1:39">
      <c r="B175" t="s">
        <v>27</v>
      </c>
      <c r="C175" s="4" t="s">
        <v>81</v>
      </c>
      <c r="D175">
        <v>159.30000000000001</v>
      </c>
      <c r="E175" s="1">
        <v>10</v>
      </c>
      <c r="F175" s="4">
        <v>1593</v>
      </c>
      <c r="J175">
        <v>161.1</v>
      </c>
      <c r="K175" s="1">
        <v>10</v>
      </c>
      <c r="L175" s="4">
        <v>1611</v>
      </c>
      <c r="S175" s="50">
        <v>158.5</v>
      </c>
      <c r="T175" s="51">
        <f>8.547*1.17</f>
        <v>9.9999900000000004</v>
      </c>
    </row>
    <row r="176" spans="1:39">
      <c r="B176" t="s">
        <v>27</v>
      </c>
      <c r="C176" s="4" t="s">
        <v>147</v>
      </c>
      <c r="D176">
        <f>164.2+242.5+398.4</f>
        <v>805.09999999999991</v>
      </c>
      <c r="E176" s="1">
        <f>8.547008547*1.17</f>
        <v>9.9999999999900009</v>
      </c>
      <c r="F176" s="4">
        <f>D176*E176</f>
        <v>8050.9999999919492</v>
      </c>
      <c r="J176">
        <v>813.1</v>
      </c>
      <c r="K176" s="1">
        <v>10</v>
      </c>
      <c r="L176" s="4">
        <v>8131</v>
      </c>
      <c r="S176" s="50">
        <v>782.5</v>
      </c>
      <c r="T176" s="51">
        <f>8.547*1.17</f>
        <v>9.9999900000000004</v>
      </c>
    </row>
    <row r="177" spans="1:39">
      <c r="B177" t="s">
        <v>27</v>
      </c>
      <c r="C177" s="4" t="s">
        <v>139</v>
      </c>
      <c r="AE177" s="8"/>
    </row>
    <row r="178" spans="1:39">
      <c r="B178" t="s">
        <v>27</v>
      </c>
      <c r="C178" s="4" t="s">
        <v>212</v>
      </c>
    </row>
    <row r="179" spans="1:39">
      <c r="B179" t="s">
        <v>27</v>
      </c>
      <c r="C179" s="4" t="s">
        <v>39</v>
      </c>
    </row>
    <row r="180" spans="1:39">
      <c r="B180" t="s">
        <v>27</v>
      </c>
      <c r="C180" s="4" t="s">
        <v>271</v>
      </c>
      <c r="D180">
        <v>80.2</v>
      </c>
      <c r="E180" s="1">
        <f>8.547008547*1.17</f>
        <v>9.9999999999900009</v>
      </c>
      <c r="F180" s="4">
        <f>D180*E180</f>
        <v>801.99999999919805</v>
      </c>
      <c r="V180" s="23">
        <v>80.900000000000006</v>
      </c>
      <c r="W180" s="1">
        <v>10</v>
      </c>
    </row>
    <row r="181" spans="1:39">
      <c r="B181" t="s">
        <v>27</v>
      </c>
      <c r="C181" s="4" t="s">
        <v>140</v>
      </c>
    </row>
    <row r="182" spans="1:39">
      <c r="B182" t="s">
        <v>27</v>
      </c>
      <c r="C182" s="4" t="s">
        <v>141</v>
      </c>
    </row>
    <row r="183" spans="1:39">
      <c r="B183" t="s">
        <v>27</v>
      </c>
      <c r="C183" s="4" t="s">
        <v>259</v>
      </c>
    </row>
    <row r="184" spans="1:39">
      <c r="B184" t="s">
        <v>27</v>
      </c>
      <c r="C184" s="4" t="s">
        <v>84</v>
      </c>
    </row>
    <row r="185" spans="1:39">
      <c r="B185" t="s">
        <v>27</v>
      </c>
      <c r="C185" s="4" t="s">
        <v>142</v>
      </c>
    </row>
    <row r="186" spans="1:39">
      <c r="B186" t="s">
        <v>27</v>
      </c>
      <c r="C186" s="4" t="s">
        <v>144</v>
      </c>
      <c r="Y186">
        <v>82.6</v>
      </c>
      <c r="Z186" s="1">
        <f>8.547008547*1.17</f>
        <v>9.9999999999900009</v>
      </c>
    </row>
    <row r="187" spans="1:39">
      <c r="B187" t="s">
        <v>27</v>
      </c>
      <c r="C187" s="4" t="s">
        <v>113</v>
      </c>
    </row>
    <row r="188" spans="1:39">
      <c r="B188" t="s">
        <v>27</v>
      </c>
      <c r="C188" s="4" t="s">
        <v>61</v>
      </c>
    </row>
    <row r="189" spans="1:39">
      <c r="B189" t="s">
        <v>258</v>
      </c>
    </row>
    <row r="190" spans="1:39" s="5" customFormat="1">
      <c r="C190" s="7"/>
      <c r="D190" s="6"/>
      <c r="E190" s="17"/>
      <c r="F190" s="7"/>
      <c r="H190" s="17"/>
      <c r="I190" s="7"/>
      <c r="K190" s="17"/>
      <c r="L190" s="7"/>
      <c r="N190" s="17"/>
      <c r="O190" s="7"/>
      <c r="Q190" s="32"/>
      <c r="R190" s="9"/>
      <c r="S190" s="52"/>
      <c r="T190" s="53"/>
      <c r="U190" s="54"/>
      <c r="V190" s="24"/>
      <c r="W190" s="17"/>
      <c r="X190" s="9"/>
      <c r="Z190" s="17"/>
      <c r="AA190" s="7"/>
      <c r="AC190" s="17"/>
      <c r="AD190" s="7"/>
      <c r="AF190" s="17"/>
      <c r="AG190" s="7"/>
      <c r="AI190" s="17"/>
      <c r="AJ190" s="7"/>
      <c r="AL190" s="17"/>
      <c r="AM190" s="7"/>
    </row>
    <row r="192" spans="1:39" s="10" customFormat="1">
      <c r="A192" s="10" t="s">
        <v>36</v>
      </c>
      <c r="B192" s="10" t="s">
        <v>13</v>
      </c>
      <c r="C192" s="11" t="s">
        <v>37</v>
      </c>
      <c r="E192" s="15"/>
      <c r="F192" s="11"/>
      <c r="H192" s="15"/>
      <c r="I192" s="11"/>
      <c r="K192" s="15"/>
      <c r="L192" s="11"/>
      <c r="N192" s="15"/>
      <c r="O192" s="11"/>
      <c r="Q192" s="29"/>
      <c r="R192" s="26"/>
      <c r="S192" s="45"/>
      <c r="T192" s="46"/>
      <c r="U192" s="47"/>
      <c r="V192" s="21"/>
      <c r="W192" s="15"/>
      <c r="X192" s="26"/>
      <c r="Z192" s="15"/>
      <c r="AA192" s="11"/>
      <c r="AC192" s="15"/>
      <c r="AD192" s="11"/>
      <c r="AF192" s="15"/>
      <c r="AG192" s="11"/>
      <c r="AI192" s="15"/>
      <c r="AJ192" s="11"/>
      <c r="AL192" s="15"/>
      <c r="AM192" s="11"/>
    </row>
    <row r="193" spans="1:39">
      <c r="C193" s="4" t="s">
        <v>55</v>
      </c>
    </row>
    <row r="194" spans="1:39">
      <c r="C194" s="4" t="s">
        <v>60</v>
      </c>
      <c r="V194" s="23">
        <v>63.2</v>
      </c>
      <c r="W194" s="1">
        <f>18.803418803*1.17</f>
        <v>21.999999999509999</v>
      </c>
      <c r="AH194">
        <v>63.2</v>
      </c>
      <c r="AI194" s="1">
        <f>18.803418803*1.17</f>
        <v>21.999999999509999</v>
      </c>
    </row>
    <row r="195" spans="1:39">
      <c r="C195" s="4" t="s">
        <v>78</v>
      </c>
    </row>
    <row r="196" spans="1:39">
      <c r="D196" s="1"/>
    </row>
    <row r="197" spans="1:39">
      <c r="D197" s="1"/>
    </row>
    <row r="198" spans="1:39" s="10" customFormat="1">
      <c r="A198" s="10" t="s">
        <v>41</v>
      </c>
      <c r="B198" s="10" t="s">
        <v>42</v>
      </c>
      <c r="C198" s="11" t="s">
        <v>43</v>
      </c>
      <c r="E198" s="15"/>
      <c r="F198" s="11"/>
      <c r="H198" s="15"/>
      <c r="I198" s="11"/>
      <c r="K198" s="15"/>
      <c r="L198" s="11"/>
      <c r="N198" s="15"/>
      <c r="O198" s="11"/>
      <c r="Q198" s="29"/>
      <c r="R198" s="26"/>
      <c r="S198" s="45"/>
      <c r="T198" s="46"/>
      <c r="U198" s="47"/>
      <c r="V198" s="21"/>
      <c r="W198" s="15"/>
      <c r="X198" s="26"/>
      <c r="Z198" s="15"/>
      <c r="AA198" s="11"/>
      <c r="AC198" s="15"/>
      <c r="AD198" s="11"/>
      <c r="AF198" s="15"/>
      <c r="AG198" s="11"/>
      <c r="AI198" s="15"/>
      <c r="AJ198" s="11"/>
      <c r="AL198" s="15"/>
      <c r="AM198" s="11"/>
    </row>
    <row r="199" spans="1:39">
      <c r="B199" t="s">
        <v>42</v>
      </c>
      <c r="C199" s="4" t="s">
        <v>11</v>
      </c>
    </row>
    <row r="200" spans="1:39">
      <c r="B200" t="s">
        <v>42</v>
      </c>
      <c r="C200" s="4" t="s">
        <v>44</v>
      </c>
    </row>
    <row r="201" spans="1:39">
      <c r="B201" t="s">
        <v>42</v>
      </c>
      <c r="C201" s="4" t="s">
        <v>45</v>
      </c>
    </row>
    <row r="202" spans="1:39">
      <c r="B202" t="s">
        <v>42</v>
      </c>
      <c r="C202" s="4" t="s">
        <v>46</v>
      </c>
    </row>
    <row r="203" spans="1:39">
      <c r="B203" t="s">
        <v>42</v>
      </c>
      <c r="C203" s="4" t="s">
        <v>116</v>
      </c>
    </row>
    <row r="204" spans="1:39">
      <c r="B204" t="s">
        <v>42</v>
      </c>
      <c r="C204" s="4" t="s">
        <v>47</v>
      </c>
    </row>
    <row r="205" spans="1:39">
      <c r="B205" t="s">
        <v>42</v>
      </c>
      <c r="C205" s="4" t="s">
        <v>88</v>
      </c>
    </row>
    <row r="206" spans="1:39">
      <c r="D206" s="1"/>
    </row>
    <row r="208" spans="1:39" s="10" customFormat="1">
      <c r="A208" s="10" t="s">
        <v>62</v>
      </c>
      <c r="B208" s="10" t="s">
        <v>63</v>
      </c>
      <c r="C208" s="11" t="s">
        <v>64</v>
      </c>
      <c r="E208" s="15"/>
      <c r="F208" s="11"/>
      <c r="H208" s="15"/>
      <c r="I208" s="11"/>
      <c r="K208" s="15"/>
      <c r="L208" s="11"/>
      <c r="N208" s="15"/>
      <c r="O208" s="11"/>
      <c r="Q208" s="29"/>
      <c r="R208" s="26"/>
      <c r="S208" s="45"/>
      <c r="T208" s="46"/>
      <c r="U208" s="47"/>
      <c r="V208" s="21"/>
      <c r="W208" s="15"/>
      <c r="X208" s="26"/>
      <c r="Z208" s="15"/>
      <c r="AA208" s="11"/>
      <c r="AC208" s="15"/>
      <c r="AD208" s="11"/>
      <c r="AF208" s="15"/>
      <c r="AG208" s="11"/>
      <c r="AI208" s="15"/>
      <c r="AJ208" s="11"/>
      <c r="AL208" s="15"/>
      <c r="AM208" s="11"/>
    </row>
    <row r="209" spans="2:38">
      <c r="B209" t="s">
        <v>63</v>
      </c>
      <c r="C209" s="4" t="s">
        <v>128</v>
      </c>
    </row>
    <row r="210" spans="2:38">
      <c r="B210" t="s">
        <v>63</v>
      </c>
      <c r="C210" s="4" t="s">
        <v>284</v>
      </c>
      <c r="P210">
        <v>38.700000000000003</v>
      </c>
      <c r="Q210" s="31">
        <f>10.256331*1.17</f>
        <v>11.999907269999998</v>
      </c>
      <c r="R210" s="25">
        <f>P210*Q210</f>
        <v>464.39641134899995</v>
      </c>
      <c r="AB210">
        <v>36.700000000000003</v>
      </c>
      <c r="AC210" s="1">
        <v>12</v>
      </c>
      <c r="AH210">
        <f>77.4+81.6</f>
        <v>159</v>
      </c>
      <c r="AI210" s="1">
        <f>10.256419*1.17</f>
        <v>12.000010229999999</v>
      </c>
    </row>
    <row r="211" spans="2:38">
      <c r="B211" t="s">
        <v>63</v>
      </c>
      <c r="C211" s="4" t="s">
        <v>319</v>
      </c>
      <c r="AE211">
        <v>77.400000000000006</v>
      </c>
      <c r="AF211" s="1">
        <f>10.256419*1.17</f>
        <v>12.000010229999999</v>
      </c>
      <c r="AH211">
        <f>77.4+38.7+192</f>
        <v>308.10000000000002</v>
      </c>
      <c r="AI211" s="1">
        <f>10.256419*1.17</f>
        <v>12.000010229999999</v>
      </c>
      <c r="AK211">
        <v>77.400000000000006</v>
      </c>
      <c r="AL211" s="1">
        <f>10.256419*1.17</f>
        <v>12.000010229999999</v>
      </c>
    </row>
    <row r="212" spans="2:38">
      <c r="B212" t="s">
        <v>63</v>
      </c>
      <c r="C212" s="4" t="s">
        <v>285</v>
      </c>
      <c r="P212">
        <v>154.80000000000001</v>
      </c>
      <c r="Q212" s="31">
        <f>10.256395*1.17</f>
        <v>11.999982149999999</v>
      </c>
      <c r="R212" s="25">
        <f>P212*Q212</f>
        <v>1857.59723682</v>
      </c>
      <c r="AB212">
        <v>232.3</v>
      </c>
      <c r="AC212" s="1">
        <v>12</v>
      </c>
      <c r="AE212">
        <v>347.4</v>
      </c>
      <c r="AF212" s="1">
        <f>10.256419*1.17</f>
        <v>12.000010229999999</v>
      </c>
      <c r="AH212">
        <f>154.8+528</f>
        <v>682.8</v>
      </c>
      <c r="AI212" s="1">
        <f>10.256419*1.17</f>
        <v>12.000010229999999</v>
      </c>
    </row>
    <row r="213" spans="2:38">
      <c r="B213" t="s">
        <v>63</v>
      </c>
      <c r="C213" s="4" t="s">
        <v>310</v>
      </c>
      <c r="AB213">
        <f>38.7+38.7</f>
        <v>77.400000000000006</v>
      </c>
      <c r="AC213" s="1">
        <f>10.256331*1.17</f>
        <v>11.999907269999998</v>
      </c>
      <c r="AE213">
        <v>110.4</v>
      </c>
      <c r="AF213" s="1">
        <f>10.256419*1.17</f>
        <v>12.000010229999999</v>
      </c>
      <c r="AH213">
        <f>193.5+288</f>
        <v>481.5</v>
      </c>
      <c r="AI213" s="1">
        <f>10.256419*1.17</f>
        <v>12.000010229999999</v>
      </c>
    </row>
    <row r="214" spans="2:38">
      <c r="B214" t="s">
        <v>63</v>
      </c>
      <c r="C214" s="4" t="s">
        <v>65</v>
      </c>
    </row>
    <row r="215" spans="2:38">
      <c r="B215" t="s">
        <v>63</v>
      </c>
      <c r="C215" s="4" t="s">
        <v>66</v>
      </c>
    </row>
    <row r="216" spans="2:38">
      <c r="B216" t="s">
        <v>63</v>
      </c>
      <c r="C216" s="4" t="s">
        <v>67</v>
      </c>
    </row>
    <row r="217" spans="2:38">
      <c r="B217" t="s">
        <v>63</v>
      </c>
      <c r="C217" s="4" t="s">
        <v>68</v>
      </c>
      <c r="J217">
        <v>80.099999999999994</v>
      </c>
      <c r="K217" s="1">
        <v>15</v>
      </c>
      <c r="L217" s="4">
        <f>J217*K217</f>
        <v>1201.5</v>
      </c>
      <c r="P217">
        <v>76.8</v>
      </c>
      <c r="Q217" s="31">
        <f>12.820573*1.17</f>
        <v>15.000070409999999</v>
      </c>
      <c r="R217" s="25">
        <f>P217*Q217</f>
        <v>1152.0054074879999</v>
      </c>
      <c r="S217" s="50">
        <v>79</v>
      </c>
      <c r="T217" s="51">
        <v>15</v>
      </c>
    </row>
    <row r="218" spans="2:38">
      <c r="B218" t="s">
        <v>63</v>
      </c>
      <c r="C218" s="4" t="s">
        <v>318</v>
      </c>
      <c r="AE218">
        <v>155.30000000000001</v>
      </c>
      <c r="AF218" s="1">
        <f>6.837605*1.17</f>
        <v>7.9999978499999997</v>
      </c>
      <c r="AK218">
        <v>162.6</v>
      </c>
      <c r="AL218" s="1">
        <f>6.837605*1.17</f>
        <v>7.9999978499999997</v>
      </c>
    </row>
    <row r="219" spans="2:38">
      <c r="B219" t="s">
        <v>63</v>
      </c>
      <c r="C219" s="4" t="s">
        <v>82</v>
      </c>
      <c r="J219">
        <v>78.7</v>
      </c>
      <c r="K219" s="1">
        <v>9</v>
      </c>
      <c r="L219" s="4">
        <f>J219*K219</f>
        <v>708.30000000000007</v>
      </c>
      <c r="P219">
        <v>161.4</v>
      </c>
      <c r="Q219" s="31">
        <f>7.692317*1.17</f>
        <v>9.0000108899999987</v>
      </c>
      <c r="R219" s="25">
        <f>P219*Q219</f>
        <v>1452.6017576459999</v>
      </c>
      <c r="S219" s="50">
        <v>81.8</v>
      </c>
      <c r="T219" s="51">
        <v>9</v>
      </c>
      <c r="AB219">
        <v>150.17500000000001</v>
      </c>
      <c r="AC219" s="1">
        <v>8</v>
      </c>
    </row>
    <row r="220" spans="2:38">
      <c r="B220" t="s">
        <v>63</v>
      </c>
      <c r="C220" s="4" t="s">
        <v>127</v>
      </c>
    </row>
    <row r="221" spans="2:38">
      <c r="B221" t="s">
        <v>63</v>
      </c>
      <c r="C221" s="4" t="s">
        <v>309</v>
      </c>
      <c r="AB221">
        <v>153.1</v>
      </c>
      <c r="AC221" s="1">
        <f>6.837622*1.17</f>
        <v>8.0000177399999988</v>
      </c>
      <c r="AE221">
        <v>79.5</v>
      </c>
      <c r="AF221" s="1">
        <f>6.837605*1.17</f>
        <v>7.9999978499999997</v>
      </c>
      <c r="AH221">
        <v>516.29999999999995</v>
      </c>
      <c r="AI221" s="1">
        <f>6.837605*1.17</f>
        <v>7.9999978499999997</v>
      </c>
      <c r="AK221">
        <v>416.6</v>
      </c>
      <c r="AL221" s="1">
        <f>6.837605*1.17</f>
        <v>7.9999978499999997</v>
      </c>
    </row>
    <row r="222" spans="2:38">
      <c r="B222" t="s">
        <v>63</v>
      </c>
      <c r="C222" s="4" t="s">
        <v>160</v>
      </c>
      <c r="D222" s="3"/>
      <c r="P222">
        <v>160.69999999999999</v>
      </c>
      <c r="Q222" s="31">
        <f>6.837586*1.17</f>
        <v>7.9999756199999998</v>
      </c>
      <c r="R222" s="25">
        <f>P222*Q222</f>
        <v>1285.596082134</v>
      </c>
      <c r="AK222">
        <v>81</v>
      </c>
      <c r="AL222" s="1">
        <f>6.837605*1.17</f>
        <v>7.9999978499999997</v>
      </c>
    </row>
    <row r="223" spans="2:38">
      <c r="B223" t="s">
        <v>63</v>
      </c>
      <c r="C223" s="4" t="s">
        <v>324</v>
      </c>
      <c r="D223" s="3"/>
    </row>
    <row r="224" spans="2:38">
      <c r="L224" s="4">
        <f>SUM(L217:L223)</f>
        <v>1909.8000000000002</v>
      </c>
      <c r="R224" s="25">
        <f>SUM(R210:R223)</f>
        <v>6212.1968954370004</v>
      </c>
    </row>
    <row r="225" spans="1:39" s="10" customFormat="1" ht="12.75" customHeight="1">
      <c r="A225" s="10" t="s">
        <v>25</v>
      </c>
      <c r="B225" s="10" t="s">
        <v>13</v>
      </c>
      <c r="C225" s="11">
        <v>3.7</v>
      </c>
      <c r="E225" s="15"/>
      <c r="F225" s="11"/>
      <c r="H225" s="15"/>
      <c r="I225" s="11"/>
      <c r="K225" s="15"/>
      <c r="L225" s="11"/>
      <c r="N225" s="15"/>
      <c r="O225" s="11"/>
      <c r="Q225" s="29"/>
      <c r="R225" s="26"/>
      <c r="S225" s="45"/>
      <c r="T225" s="46"/>
      <c r="U225" s="47"/>
      <c r="V225" s="21"/>
      <c r="W225" s="15"/>
      <c r="X225" s="26"/>
      <c r="Z225" s="15"/>
      <c r="AA225" s="11"/>
      <c r="AC225" s="15"/>
      <c r="AD225" s="11"/>
      <c r="AF225" s="15"/>
      <c r="AG225" s="11"/>
      <c r="AI225" s="15"/>
      <c r="AJ225" s="11"/>
      <c r="AL225" s="15"/>
      <c r="AM225" s="11"/>
    </row>
    <row r="226" spans="1:39" ht="12.75" customHeight="1">
      <c r="B226" t="s">
        <v>59</v>
      </c>
      <c r="C226" s="4">
        <v>3.8</v>
      </c>
    </row>
    <row r="227" spans="1:39" ht="12.75" customHeight="1">
      <c r="D227" s="1"/>
    </row>
    <row r="228" spans="1:39" s="10" customFormat="1" ht="12.75" customHeight="1">
      <c r="A228" s="10" t="s">
        <v>168</v>
      </c>
      <c r="B228" s="10" t="s">
        <v>169</v>
      </c>
      <c r="C228" s="11" t="s">
        <v>171</v>
      </c>
      <c r="E228" s="15"/>
      <c r="F228" s="11"/>
      <c r="H228" s="15"/>
      <c r="I228" s="11"/>
      <c r="K228" s="15"/>
      <c r="L228" s="11"/>
      <c r="N228" s="15"/>
      <c r="O228" s="11"/>
      <c r="Q228" s="29"/>
      <c r="R228" s="26"/>
      <c r="S228" s="45"/>
      <c r="T228" s="46"/>
      <c r="U228" s="47"/>
      <c r="V228" s="21"/>
      <c r="W228" s="15"/>
      <c r="X228" s="26"/>
      <c r="Z228" s="15"/>
      <c r="AA228" s="11"/>
      <c r="AC228" s="15"/>
      <c r="AD228" s="11"/>
      <c r="AF228" s="15"/>
      <c r="AG228" s="11"/>
      <c r="AI228" s="15"/>
      <c r="AJ228" s="11"/>
      <c r="AL228" s="15"/>
      <c r="AM228" s="11"/>
    </row>
    <row r="229" spans="1:39">
      <c r="B229" t="s">
        <v>169</v>
      </c>
      <c r="C229" s="4" t="s">
        <v>172</v>
      </c>
    </row>
    <row r="230" spans="1:39">
      <c r="B230" t="s">
        <v>169</v>
      </c>
      <c r="C230" s="4" t="s">
        <v>173</v>
      </c>
    </row>
    <row r="231" spans="1:39">
      <c r="B231" t="s">
        <v>170</v>
      </c>
      <c r="C231" s="4" t="s">
        <v>173</v>
      </c>
    </row>
    <row r="234" spans="1:39" s="10" customFormat="1">
      <c r="A234" s="10" t="s">
        <v>175</v>
      </c>
      <c r="B234" s="10" t="s">
        <v>176</v>
      </c>
      <c r="C234" s="11" t="s">
        <v>177</v>
      </c>
      <c r="E234" s="15"/>
      <c r="F234" s="11"/>
      <c r="H234" s="15"/>
      <c r="I234" s="11"/>
      <c r="K234" s="15"/>
      <c r="L234" s="11"/>
      <c r="N234" s="15"/>
      <c r="O234" s="11"/>
      <c r="Q234" s="29"/>
      <c r="R234" s="26"/>
      <c r="S234" s="45"/>
      <c r="T234" s="46"/>
      <c r="U234" s="47"/>
      <c r="V234" s="21"/>
      <c r="W234" s="15"/>
      <c r="X234" s="26"/>
      <c r="Z234" s="15"/>
      <c r="AA234" s="11"/>
      <c r="AC234" s="15"/>
      <c r="AD234" s="11"/>
      <c r="AF234" s="15"/>
      <c r="AG234" s="11"/>
      <c r="AI234" s="15"/>
      <c r="AJ234" s="11"/>
      <c r="AL234" s="15"/>
      <c r="AM234" s="11"/>
    </row>
    <row r="235" spans="1:39" s="13" customFormat="1">
      <c r="B235" s="10" t="s">
        <v>176</v>
      </c>
      <c r="C235" s="4" t="s">
        <v>274</v>
      </c>
      <c r="E235" s="16"/>
      <c r="F235" s="4"/>
      <c r="H235" s="16"/>
      <c r="I235" s="4"/>
      <c r="K235" s="16"/>
      <c r="L235" s="4"/>
      <c r="M235" s="13">
        <v>43.5</v>
      </c>
      <c r="N235" s="16">
        <f>100.85470085*1.17</f>
        <v>117.99999999449999</v>
      </c>
      <c r="O235" s="4">
        <f>M235*N235</f>
        <v>5132.9999997607492</v>
      </c>
      <c r="Q235" s="30"/>
      <c r="R235" s="25"/>
      <c r="S235" s="48"/>
      <c r="T235" s="49"/>
      <c r="U235" s="44"/>
      <c r="V235" s="22"/>
      <c r="W235" s="16"/>
      <c r="X235" s="25"/>
      <c r="Z235" s="16"/>
      <c r="AA235" s="4"/>
      <c r="AC235" s="16"/>
      <c r="AD235" s="4"/>
      <c r="AF235" s="16"/>
      <c r="AG235" s="4"/>
      <c r="AH235" s="13">
        <v>44.2</v>
      </c>
      <c r="AI235" s="16">
        <f>100.85470085*1.17</f>
        <v>117.99999999449999</v>
      </c>
      <c r="AJ235" s="4"/>
      <c r="AL235" s="16"/>
      <c r="AM235" s="4"/>
    </row>
    <row r="236" spans="1:39" s="13" customFormat="1">
      <c r="B236" s="10" t="s">
        <v>176</v>
      </c>
      <c r="C236" s="4" t="s">
        <v>322</v>
      </c>
      <c r="E236" s="16"/>
      <c r="F236" s="4"/>
      <c r="H236" s="16"/>
      <c r="I236" s="4"/>
      <c r="K236" s="16"/>
      <c r="L236" s="4"/>
      <c r="N236" s="16"/>
      <c r="O236" s="4"/>
      <c r="Q236" s="30"/>
      <c r="R236" s="25"/>
      <c r="S236" s="48"/>
      <c r="T236" s="49"/>
      <c r="U236" s="44"/>
      <c r="V236" s="22"/>
      <c r="W236" s="16"/>
      <c r="X236" s="25"/>
      <c r="Z236" s="16"/>
      <c r="AA236" s="4"/>
      <c r="AC236" s="16"/>
      <c r="AD236" s="4"/>
      <c r="AF236" s="16"/>
      <c r="AG236" s="4"/>
      <c r="AI236" s="16"/>
      <c r="AJ236" s="4"/>
      <c r="AK236" s="13">
        <v>75.2</v>
      </c>
      <c r="AL236" s="16">
        <f>68.376068376*1.17</f>
        <v>79.999999999920007</v>
      </c>
      <c r="AM236" s="4"/>
    </row>
    <row r="237" spans="1:39" s="13" customFormat="1">
      <c r="B237" s="8" t="s">
        <v>242</v>
      </c>
      <c r="C237" s="4" t="s">
        <v>289</v>
      </c>
      <c r="E237" s="16"/>
      <c r="F237" s="4"/>
      <c r="H237" s="16"/>
      <c r="I237" s="4"/>
      <c r="K237" s="16"/>
      <c r="L237" s="4"/>
      <c r="N237" s="16"/>
      <c r="O237" s="4"/>
      <c r="Q237" s="30"/>
      <c r="R237" s="25"/>
      <c r="S237" s="48"/>
      <c r="T237" s="49"/>
      <c r="U237" s="44"/>
      <c r="V237" s="22">
        <v>36.700000000000003</v>
      </c>
      <c r="W237" s="16">
        <f>52.991452991*1.17</f>
        <v>61.999999999469999</v>
      </c>
      <c r="X237" s="25"/>
      <c r="Z237" s="16"/>
      <c r="AA237" s="4"/>
      <c r="AC237" s="16"/>
      <c r="AD237" s="4"/>
      <c r="AF237" s="16"/>
      <c r="AG237" s="4"/>
      <c r="AI237" s="16"/>
      <c r="AJ237" s="4"/>
      <c r="AL237" s="16"/>
      <c r="AM237" s="4"/>
    </row>
    <row r="238" spans="1:39" s="13" customFormat="1">
      <c r="B238" s="8" t="s">
        <v>242</v>
      </c>
      <c r="C238" s="4" t="s">
        <v>290</v>
      </c>
      <c r="E238" s="16"/>
      <c r="F238" s="4"/>
      <c r="H238" s="16"/>
      <c r="I238" s="4"/>
      <c r="K238" s="16"/>
      <c r="L238" s="4"/>
      <c r="N238" s="16"/>
      <c r="O238" s="4"/>
      <c r="Q238" s="30"/>
      <c r="R238" s="25"/>
      <c r="S238" s="48"/>
      <c r="T238" s="49"/>
      <c r="U238" s="44"/>
      <c r="V238" s="22">
        <v>51.31</v>
      </c>
      <c r="W238" s="16">
        <f>61.538461538*1.17</f>
        <v>71.999999999460002</v>
      </c>
      <c r="X238" s="25"/>
      <c r="Z238" s="16"/>
      <c r="AA238" s="4"/>
      <c r="AC238" s="16"/>
      <c r="AD238" s="4"/>
      <c r="AF238" s="16"/>
      <c r="AG238" s="4"/>
      <c r="AI238" s="16"/>
      <c r="AJ238" s="4"/>
      <c r="AL238" s="16"/>
      <c r="AM238" s="4"/>
    </row>
    <row r="239" spans="1:39">
      <c r="B239" s="8" t="s">
        <v>242</v>
      </c>
      <c r="C239" s="4" t="s">
        <v>243</v>
      </c>
    </row>
    <row r="240" spans="1:39">
      <c r="B240" s="8" t="s">
        <v>242</v>
      </c>
      <c r="C240" s="4" t="s">
        <v>307</v>
      </c>
      <c r="AB240">
        <v>68</v>
      </c>
      <c r="AC240" s="1">
        <f>47.008547009*1.17</f>
        <v>55.000000000529994</v>
      </c>
    </row>
    <row r="241" spans="1:39">
      <c r="B241" s="8" t="s">
        <v>242</v>
      </c>
      <c r="C241" s="4" t="s">
        <v>253</v>
      </c>
    </row>
    <row r="242" spans="1:39">
      <c r="B242" s="8" t="s">
        <v>298</v>
      </c>
      <c r="C242" s="4" t="s">
        <v>300</v>
      </c>
      <c r="O242" s="13"/>
      <c r="Y242">
        <v>81.2</v>
      </c>
      <c r="Z242" s="1">
        <f>39.316239316*1.17</f>
        <v>45.999999999719996</v>
      </c>
    </row>
    <row r="243" spans="1:39">
      <c r="B243" s="8" t="s">
        <v>299</v>
      </c>
      <c r="C243" s="4" t="s">
        <v>301</v>
      </c>
      <c r="O243" s="13"/>
      <c r="Y243">
        <v>83.2</v>
      </c>
      <c r="Z243" s="1">
        <v>46</v>
      </c>
    </row>
    <row r="244" spans="1:39">
      <c r="B244" s="8" t="s">
        <v>304</v>
      </c>
      <c r="C244" s="4" t="s">
        <v>305</v>
      </c>
      <c r="O244" s="13"/>
      <c r="Y244">
        <v>59.4</v>
      </c>
      <c r="Z244" s="1">
        <f>47.008547009*1.17</f>
        <v>55.000000000529994</v>
      </c>
    </row>
    <row r="245" spans="1:39">
      <c r="B245" s="8" t="s">
        <v>304</v>
      </c>
      <c r="C245" s="4" t="s">
        <v>306</v>
      </c>
      <c r="O245" s="13"/>
      <c r="Y245">
        <v>58.9</v>
      </c>
      <c r="Z245" s="1">
        <v>55</v>
      </c>
    </row>
    <row r="246" spans="1:39">
      <c r="B246" s="8" t="s">
        <v>304</v>
      </c>
      <c r="C246" s="4" t="s">
        <v>308</v>
      </c>
      <c r="O246" s="13"/>
      <c r="AB246">
        <v>80</v>
      </c>
      <c r="AC246" s="1">
        <f>38.461538462*1.17</f>
        <v>45.000000000539998</v>
      </c>
      <c r="AE246">
        <v>82.3</v>
      </c>
      <c r="AF246" s="1">
        <f>38.461538462*1.17</f>
        <v>45.000000000539998</v>
      </c>
    </row>
    <row r="247" spans="1:39">
      <c r="B247" s="8" t="s">
        <v>304</v>
      </c>
      <c r="C247" s="4" t="s">
        <v>312</v>
      </c>
      <c r="O247" s="13"/>
      <c r="AE247">
        <v>41.4</v>
      </c>
      <c r="AF247" s="1">
        <f>37.606837607*1.17</f>
        <v>44.000000000189999</v>
      </c>
    </row>
    <row r="248" spans="1:39">
      <c r="B248" s="8" t="s">
        <v>304</v>
      </c>
      <c r="C248" s="4" t="s">
        <v>313</v>
      </c>
      <c r="O248" s="13"/>
      <c r="AE248">
        <v>42</v>
      </c>
      <c r="AF248" s="1">
        <f>37.606837607*1.17</f>
        <v>44.000000000189999</v>
      </c>
    </row>
    <row r="249" spans="1:39">
      <c r="B249" s="8" t="s">
        <v>314</v>
      </c>
      <c r="C249" s="4" t="s">
        <v>315</v>
      </c>
      <c r="O249" s="13"/>
      <c r="AE249">
        <v>78.5</v>
      </c>
      <c r="AF249" s="1">
        <f>10.256410256*1.17</f>
        <v>11.99999999952</v>
      </c>
      <c r="AK249">
        <v>156.4</v>
      </c>
      <c r="AL249" s="1">
        <f>10.256410256*1.17</f>
        <v>11.99999999952</v>
      </c>
    </row>
    <row r="250" spans="1:39">
      <c r="B250" s="8" t="s">
        <v>316</v>
      </c>
      <c r="C250" s="4" t="s">
        <v>317</v>
      </c>
      <c r="O250" s="13"/>
      <c r="AE250">
        <v>79.2</v>
      </c>
      <c r="AF250" s="1">
        <f>10.256410256*1.17</f>
        <v>11.99999999952</v>
      </c>
    </row>
    <row r="251" spans="1:39">
      <c r="B251" s="8" t="s">
        <v>316</v>
      </c>
      <c r="C251" s="4" t="s">
        <v>323</v>
      </c>
      <c r="O251" s="13"/>
      <c r="AK251">
        <v>158.19999999999999</v>
      </c>
      <c r="AL251" s="1">
        <f>10.256410256*1.17</f>
        <v>11.99999999952</v>
      </c>
    </row>
    <row r="252" spans="1:39">
      <c r="B252" s="8" t="s">
        <v>304</v>
      </c>
      <c r="C252" s="4" t="s">
        <v>311</v>
      </c>
      <c r="O252" s="13"/>
      <c r="AE252">
        <v>81.3</v>
      </c>
      <c r="AF252" s="1">
        <f>38.461538462*1.17</f>
        <v>45.000000000539998</v>
      </c>
    </row>
    <row r="253" spans="1:39" s="10" customFormat="1">
      <c r="A253" s="10" t="s">
        <v>178</v>
      </c>
      <c r="B253" s="10" t="s">
        <v>179</v>
      </c>
      <c r="C253" s="11" t="s">
        <v>180</v>
      </c>
      <c r="E253" s="15"/>
      <c r="F253" s="11"/>
      <c r="H253" s="15"/>
      <c r="I253" s="11"/>
      <c r="K253" s="15"/>
      <c r="L253" s="11"/>
      <c r="N253" s="15"/>
      <c r="O253" s="13"/>
      <c r="Q253" s="29"/>
      <c r="R253" s="26"/>
      <c r="S253" s="45"/>
      <c r="T253" s="46"/>
      <c r="U253" s="47"/>
      <c r="V253" s="21"/>
      <c r="W253" s="15"/>
      <c r="X253" s="26"/>
      <c r="Z253" s="15"/>
      <c r="AA253" s="11"/>
      <c r="AC253" s="15"/>
      <c r="AD253" s="11"/>
      <c r="AF253" s="15"/>
      <c r="AG253" s="11"/>
      <c r="AI253" s="15"/>
      <c r="AJ253" s="11"/>
      <c r="AL253" s="15"/>
      <c r="AM253" s="11"/>
    </row>
    <row r="254" spans="1:39">
      <c r="B254" t="s">
        <v>179</v>
      </c>
      <c r="C254" s="4" t="s">
        <v>181</v>
      </c>
      <c r="O254" s="13"/>
    </row>
    <row r="255" spans="1:39">
      <c r="B255" t="s">
        <v>179</v>
      </c>
      <c r="C255" s="4" t="s">
        <v>182</v>
      </c>
      <c r="O255" s="13"/>
    </row>
    <row r="256" spans="1:39">
      <c r="B256" t="s">
        <v>179</v>
      </c>
      <c r="C256" s="4" t="s">
        <v>185</v>
      </c>
      <c r="O256" s="13"/>
    </row>
    <row r="257" spans="1:39">
      <c r="B257" t="s">
        <v>179</v>
      </c>
      <c r="C257" s="4" t="s">
        <v>240</v>
      </c>
    </row>
    <row r="258" spans="1:39">
      <c r="B258" t="s">
        <v>179</v>
      </c>
      <c r="C258" s="4" t="s">
        <v>241</v>
      </c>
      <c r="Y258">
        <v>23.7</v>
      </c>
      <c r="Z258" s="1">
        <f>119.65811966*1.17</f>
        <v>140.00000000219998</v>
      </c>
    </row>
    <row r="259" spans="1:39">
      <c r="B259" t="s">
        <v>179</v>
      </c>
      <c r="C259" s="4" t="s">
        <v>297</v>
      </c>
      <c r="Y259">
        <v>40.5</v>
      </c>
      <c r="Z259" s="1">
        <f>136.75213675*1.17</f>
        <v>159.9999999975</v>
      </c>
    </row>
    <row r="262" spans="1:39" s="10" customFormat="1">
      <c r="A262" s="10" t="s">
        <v>200</v>
      </c>
      <c r="B262" s="10" t="s">
        <v>201</v>
      </c>
      <c r="C262" s="11" t="s">
        <v>202</v>
      </c>
      <c r="E262" s="15"/>
      <c r="F262" s="11"/>
      <c r="H262" s="15"/>
      <c r="I262" s="11"/>
      <c r="K262" s="15"/>
      <c r="L262" s="11"/>
      <c r="N262" s="15"/>
      <c r="O262" s="11"/>
      <c r="Q262" s="29"/>
      <c r="R262" s="26"/>
      <c r="S262" s="45"/>
      <c r="T262" s="46"/>
      <c r="U262" s="47"/>
      <c r="V262" s="21">
        <v>992.3</v>
      </c>
      <c r="W262" s="15">
        <f>29.05982906*1.17</f>
        <v>34.000000000199996</v>
      </c>
      <c r="X262" s="26"/>
      <c r="Z262" s="15"/>
      <c r="AA262" s="11"/>
      <c r="AC262" s="15"/>
      <c r="AD262" s="11"/>
      <c r="AF262" s="15"/>
      <c r="AG262" s="11"/>
      <c r="AH262" s="10">
        <v>996.5</v>
      </c>
      <c r="AI262" s="15">
        <f>29.05982906*1.17</f>
        <v>34.000000000199996</v>
      </c>
      <c r="AJ262" s="11"/>
      <c r="AL262" s="15"/>
      <c r="AM262" s="11"/>
    </row>
    <row r="263" spans="1:39">
      <c r="C263" s="4" t="s">
        <v>325</v>
      </c>
      <c r="AK263">
        <v>147.19999999999999</v>
      </c>
      <c r="AL263" s="1">
        <f>35.042735043*1.17</f>
        <v>41.000000000309996</v>
      </c>
    </row>
    <row r="264" spans="1:39" s="34" customFormat="1">
      <c r="C264" s="35" t="s">
        <v>326</v>
      </c>
      <c r="E264" s="36"/>
      <c r="F264" s="35"/>
      <c r="H264" s="36"/>
      <c r="I264" s="35"/>
      <c r="K264" s="36"/>
      <c r="L264" s="35"/>
      <c r="N264" s="36"/>
      <c r="O264" s="35"/>
      <c r="Q264" s="37"/>
      <c r="R264" s="38"/>
      <c r="S264" s="55"/>
      <c r="T264" s="56"/>
      <c r="U264" s="57"/>
      <c r="V264" s="39"/>
      <c r="W264" s="36"/>
      <c r="X264" s="38"/>
      <c r="Z264" s="36"/>
      <c r="AA264" s="35"/>
      <c r="AC264" s="36"/>
      <c r="AD264" s="35"/>
      <c r="AF264" s="36"/>
      <c r="AG264" s="35"/>
      <c r="AI264" s="36"/>
      <c r="AJ264" s="35"/>
      <c r="AK264" s="34">
        <v>80.8</v>
      </c>
      <c r="AL264" s="36">
        <f>34.188034188*1.17</f>
        <v>39.999999999960004</v>
      </c>
      <c r="AM264" s="35"/>
    </row>
    <row r="265" spans="1:39">
      <c r="A265" t="s">
        <v>230</v>
      </c>
      <c r="B265" t="s">
        <v>231</v>
      </c>
    </row>
  </sheetData>
  <sortState ref="A85:AM113">
    <sortCondition descending="1" ref="C85:C113"/>
  </sortState>
  <mergeCells count="14">
    <mergeCell ref="C28:C29"/>
    <mergeCell ref="B28:B29"/>
    <mergeCell ref="AK1:AM1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260"/>
  <sheetViews>
    <sheetView zoomScaleNormal="100" workbookViewId="0">
      <pane xSplit="3" ySplit="2" topLeftCell="D18" activePane="bottomRight" state="frozen"/>
      <selection pane="topRight" activeCell="D1" sqref="D1"/>
      <selection pane="bottomLeft" activeCell="A3" sqref="A3"/>
      <selection pane="bottomRight" activeCell="A36" sqref="A36:XFD36"/>
    </sheetView>
  </sheetViews>
  <sheetFormatPr defaultRowHeight="14.4"/>
  <cols>
    <col min="1" max="1" width="11" bestFit="1" customWidth="1"/>
    <col min="2" max="2" width="19.21875" bestFit="1" customWidth="1"/>
    <col min="3" max="3" width="23.88671875" style="4" customWidth="1"/>
    <col min="4" max="4" width="7.5546875" bestFit="1" customWidth="1"/>
    <col min="5" max="5" width="5.77734375" style="1" bestFit="1" customWidth="1"/>
    <col min="6" max="6" width="8.5546875" style="4" customWidth="1"/>
    <col min="7" max="7" width="6.5546875" customWidth="1"/>
    <col min="8" max="8" width="5.109375" style="1" customWidth="1"/>
    <col min="9" max="9" width="8.5546875" style="4" hidden="1" customWidth="1"/>
    <col min="10" max="10" width="7.5546875" hidden="1" customWidth="1"/>
    <col min="11" max="11" width="7.77734375" style="1" hidden="1" customWidth="1"/>
    <col min="12" max="12" width="5.5546875" style="4" bestFit="1" customWidth="1"/>
    <col min="13" max="13" width="6.5546875" bestFit="1" customWidth="1"/>
    <col min="14" max="14" width="14.109375" style="1" bestFit="1" customWidth="1"/>
    <col min="15" max="15" width="5.5546875" style="4" bestFit="1" customWidth="1"/>
    <col min="16" max="16" width="6.5546875" bestFit="1" customWidth="1"/>
    <col min="17" max="17" width="7.6640625" style="31" customWidth="1"/>
    <col min="18" max="18" width="5.5546875" style="25" bestFit="1" customWidth="1"/>
    <col min="19" max="19" width="7.5546875" style="50" bestFit="1" customWidth="1"/>
    <col min="20" max="20" width="14.109375" style="51" bestFit="1" customWidth="1"/>
    <col min="21" max="21" width="3.77734375" style="44" customWidth="1"/>
    <col min="22" max="22" width="9.5546875" style="23" bestFit="1" customWidth="1"/>
    <col min="23" max="23" width="10.44140625" style="1" bestFit="1" customWidth="1"/>
    <col min="24" max="24" width="5.5546875" style="25" bestFit="1" customWidth="1"/>
    <col min="25" max="25" width="6.5546875" bestFit="1" customWidth="1"/>
    <col min="26" max="26" width="9.21875" style="1" customWidth="1"/>
    <col min="27" max="27" width="2.6640625" style="4" customWidth="1"/>
    <col min="28" max="28" width="8.5546875" bestFit="1" customWidth="1"/>
    <col min="29" max="29" width="6.33203125" style="1" customWidth="1"/>
    <col min="30" max="30" width="5.5546875" style="4" bestFit="1" customWidth="1"/>
    <col min="31" max="31" width="6.6640625" customWidth="1"/>
    <col min="32" max="32" width="7.77734375" style="1" customWidth="1"/>
    <col min="33" max="33" width="5.21875" style="4" bestFit="1" customWidth="1"/>
    <col min="34" max="34" width="6.77734375" customWidth="1"/>
    <col min="35" max="35" width="9.33203125" style="1" customWidth="1"/>
    <col min="36" max="36" width="5.21875" style="4" bestFit="1" customWidth="1"/>
    <col min="37" max="37" width="6.88671875" customWidth="1"/>
    <col min="38" max="38" width="7.21875" style="1" customWidth="1"/>
    <col min="39" max="39" width="5.21875" style="4" bestFit="1" customWidth="1"/>
    <col min="40" max="40" width="9.77734375" customWidth="1"/>
  </cols>
  <sheetData>
    <row r="1" spans="1:40">
      <c r="D1" s="121" t="s">
        <v>149</v>
      </c>
      <c r="E1" s="121"/>
      <c r="F1" s="121"/>
      <c r="G1" s="121" t="s">
        <v>162</v>
      </c>
      <c r="H1" s="121"/>
      <c r="I1" s="121"/>
      <c r="J1" s="121" t="s">
        <v>203</v>
      </c>
      <c r="K1" s="121"/>
      <c r="L1" s="122"/>
      <c r="M1" s="123" t="s">
        <v>204</v>
      </c>
      <c r="N1" s="121"/>
      <c r="O1" s="122"/>
      <c r="P1" s="123" t="s">
        <v>205</v>
      </c>
      <c r="Q1" s="121"/>
      <c r="R1" s="121"/>
      <c r="S1" s="125" t="s">
        <v>209</v>
      </c>
      <c r="T1" s="125"/>
      <c r="U1" s="125"/>
      <c r="V1" s="121" t="s">
        <v>210</v>
      </c>
      <c r="W1" s="121"/>
      <c r="X1" s="121"/>
      <c r="Y1" s="121" t="s">
        <v>211</v>
      </c>
      <c r="Z1" s="121"/>
      <c r="AA1" s="121"/>
      <c r="AB1" s="121" t="s">
        <v>232</v>
      </c>
      <c r="AC1" s="121"/>
      <c r="AD1" s="121"/>
      <c r="AE1" s="121" t="s">
        <v>246</v>
      </c>
      <c r="AF1" s="121"/>
      <c r="AG1" s="121"/>
      <c r="AH1" s="121" t="s">
        <v>254</v>
      </c>
      <c r="AI1" s="121"/>
      <c r="AJ1" s="121"/>
      <c r="AK1" s="121" t="s">
        <v>262</v>
      </c>
      <c r="AL1" s="121"/>
      <c r="AM1" s="121"/>
    </row>
    <row r="2" spans="1:40">
      <c r="D2" s="64" t="s">
        <v>150</v>
      </c>
      <c r="E2" s="1" t="s">
        <v>6</v>
      </c>
      <c r="F2" s="4" t="s">
        <v>157</v>
      </c>
      <c r="G2" t="s">
        <v>150</v>
      </c>
      <c r="H2" s="1" t="s">
        <v>6</v>
      </c>
      <c r="I2" s="4" t="s">
        <v>157</v>
      </c>
      <c r="J2" s="8" t="s">
        <v>206</v>
      </c>
      <c r="K2" s="14" t="s">
        <v>208</v>
      </c>
      <c r="L2" s="4" t="s">
        <v>207</v>
      </c>
      <c r="M2" s="8" t="s">
        <v>206</v>
      </c>
      <c r="N2" s="14" t="s">
        <v>208</v>
      </c>
      <c r="O2" s="4" t="s">
        <v>207</v>
      </c>
      <c r="P2" s="8" t="s">
        <v>206</v>
      </c>
      <c r="Q2" s="28" t="s">
        <v>208</v>
      </c>
      <c r="R2" s="27" t="s">
        <v>207</v>
      </c>
      <c r="S2" s="42" t="s">
        <v>206</v>
      </c>
      <c r="T2" s="43" t="s">
        <v>208</v>
      </c>
      <c r="U2" s="44" t="s">
        <v>207</v>
      </c>
      <c r="V2" s="20" t="s">
        <v>206</v>
      </c>
      <c r="W2" s="14" t="s">
        <v>208</v>
      </c>
      <c r="X2" s="25" t="s">
        <v>207</v>
      </c>
      <c r="Y2" s="8" t="s">
        <v>206</v>
      </c>
      <c r="Z2" s="14" t="s">
        <v>208</v>
      </c>
      <c r="AA2" s="4" t="s">
        <v>207</v>
      </c>
      <c r="AB2" t="s">
        <v>150</v>
      </c>
      <c r="AC2" s="1" t="s">
        <v>6</v>
      </c>
      <c r="AD2" s="4" t="s">
        <v>157</v>
      </c>
      <c r="AE2" s="8" t="s">
        <v>150</v>
      </c>
      <c r="AF2" s="14" t="s">
        <v>6</v>
      </c>
      <c r="AG2" s="4" t="s">
        <v>157</v>
      </c>
      <c r="AH2" s="8" t="s">
        <v>150</v>
      </c>
      <c r="AI2" s="14" t="s">
        <v>6</v>
      </c>
      <c r="AJ2" s="12" t="s">
        <v>157</v>
      </c>
      <c r="AK2" s="8" t="s">
        <v>150</v>
      </c>
      <c r="AL2" s="14" t="s">
        <v>6</v>
      </c>
      <c r="AM2" s="12" t="s">
        <v>157</v>
      </c>
    </row>
    <row r="3" spans="1:40" s="10" customFormat="1">
      <c r="A3" t="s">
        <v>0</v>
      </c>
      <c r="B3" s="10" t="s">
        <v>75</v>
      </c>
      <c r="C3" s="11" t="s">
        <v>76</v>
      </c>
      <c r="E3" s="15"/>
      <c r="F3" s="11"/>
      <c r="H3" s="15"/>
      <c r="I3" s="11"/>
      <c r="K3" s="15"/>
      <c r="L3" s="11"/>
      <c r="N3" s="15"/>
      <c r="O3" s="11"/>
      <c r="Q3" s="29"/>
      <c r="R3" s="26"/>
      <c r="S3" s="45"/>
      <c r="T3" s="46"/>
      <c r="U3" s="47"/>
      <c r="V3" s="21"/>
      <c r="W3" s="15"/>
      <c r="X3" s="26"/>
      <c r="Z3" s="15"/>
      <c r="AA3" s="11"/>
      <c r="AC3" s="15"/>
      <c r="AD3" s="11"/>
      <c r="AF3" s="15"/>
      <c r="AG3" s="11"/>
      <c r="AI3" s="15"/>
      <c r="AJ3" s="11"/>
      <c r="AL3" s="15"/>
      <c r="AM3" s="11"/>
      <c r="AN3" s="45">
        <f>D4+G4+M4+P4+S4+V4+Y4+AB4+AE4+AH4+AK4</f>
        <v>10.86</v>
      </c>
    </row>
    <row r="4" spans="1:40">
      <c r="B4" t="s">
        <v>352</v>
      </c>
      <c r="C4" s="4" t="s">
        <v>353</v>
      </c>
      <c r="M4">
        <v>10.86</v>
      </c>
      <c r="N4" s="1">
        <f>29.914529915*1.17</f>
        <v>35.000000000549996</v>
      </c>
      <c r="AN4" s="45">
        <f t="shared" ref="AN4:AN67" si="0">D5+G5+M5+P5+S5+V5+Y5+AB5+AE5+AH5+AK5</f>
        <v>10.64</v>
      </c>
    </row>
    <row r="5" spans="1:40">
      <c r="B5" t="s">
        <v>352</v>
      </c>
      <c r="C5" s="4" t="s">
        <v>354</v>
      </c>
      <c r="P5">
        <v>10.64</v>
      </c>
      <c r="Q5" s="31">
        <f>38.461538462*1.17</f>
        <v>45.000000000539998</v>
      </c>
      <c r="AN5" s="45">
        <f t="shared" si="0"/>
        <v>0</v>
      </c>
    </row>
    <row r="6" spans="1:40" s="13" customFormat="1">
      <c r="A6"/>
      <c r="B6" t="s">
        <v>197</v>
      </c>
      <c r="C6" s="4" t="s">
        <v>224</v>
      </c>
      <c r="D6" s="3"/>
      <c r="E6" s="1"/>
      <c r="F6" s="4"/>
      <c r="G6"/>
      <c r="H6" s="1"/>
      <c r="I6" s="4"/>
      <c r="J6"/>
      <c r="K6" s="1"/>
      <c r="L6" s="4"/>
      <c r="M6"/>
      <c r="N6" s="1"/>
      <c r="O6" s="4"/>
      <c r="P6"/>
      <c r="Q6" s="31"/>
      <c r="R6" s="25"/>
      <c r="S6" s="50"/>
      <c r="T6" s="51"/>
      <c r="U6" s="44"/>
      <c r="V6" s="23"/>
      <c r="W6" s="1"/>
      <c r="X6" s="25"/>
      <c r="Y6"/>
      <c r="Z6" s="1"/>
      <c r="AA6" s="4"/>
      <c r="AB6"/>
      <c r="AC6" s="1"/>
      <c r="AD6" s="4"/>
      <c r="AE6"/>
      <c r="AF6" s="1"/>
      <c r="AG6" s="4"/>
      <c r="AH6"/>
      <c r="AI6" s="1"/>
      <c r="AJ6" s="4"/>
      <c r="AK6"/>
      <c r="AL6" s="1"/>
      <c r="AM6" s="4"/>
      <c r="AN6" s="45">
        <f t="shared" si="0"/>
        <v>0</v>
      </c>
    </row>
    <row r="7" spans="1:40">
      <c r="B7" t="s">
        <v>197</v>
      </c>
      <c r="C7" s="4" t="s">
        <v>198</v>
      </c>
      <c r="D7" s="3"/>
      <c r="AN7" s="45">
        <f t="shared" si="0"/>
        <v>0</v>
      </c>
    </row>
    <row r="8" spans="1:40">
      <c r="B8" t="s">
        <v>154</v>
      </c>
      <c r="C8" s="4" t="s">
        <v>218</v>
      </c>
      <c r="AN8" s="45">
        <f t="shared" si="0"/>
        <v>0</v>
      </c>
    </row>
    <row r="9" spans="1:40">
      <c r="B9" t="s">
        <v>154</v>
      </c>
      <c r="C9" s="4" t="s">
        <v>279</v>
      </c>
      <c r="AN9" s="45">
        <f t="shared" si="0"/>
        <v>51.8</v>
      </c>
    </row>
    <row r="10" spans="1:40">
      <c r="B10" t="s">
        <v>292</v>
      </c>
      <c r="C10" s="4" t="s">
        <v>293</v>
      </c>
      <c r="V10" s="23">
        <v>51.8</v>
      </c>
      <c r="AN10" s="45">
        <f t="shared" si="0"/>
        <v>51.8</v>
      </c>
    </row>
    <row r="11" spans="1:40">
      <c r="B11" t="s">
        <v>292</v>
      </c>
      <c r="C11" s="4" t="s">
        <v>296</v>
      </c>
      <c r="V11" s="23">
        <v>51.8</v>
      </c>
      <c r="AN11" s="45">
        <f t="shared" si="0"/>
        <v>513.6</v>
      </c>
    </row>
    <row r="12" spans="1:40">
      <c r="B12" t="s">
        <v>292</v>
      </c>
      <c r="C12" s="4" t="s">
        <v>294</v>
      </c>
      <c r="V12" s="23">
        <v>513.6</v>
      </c>
      <c r="AN12" s="45">
        <f t="shared" si="0"/>
        <v>244.39999999999998</v>
      </c>
    </row>
    <row r="13" spans="1:40">
      <c r="B13" t="s">
        <v>292</v>
      </c>
      <c r="C13" s="4" t="s">
        <v>295</v>
      </c>
      <c r="D13">
        <v>192.6</v>
      </c>
      <c r="E13" s="1">
        <f>61.538461538*1.17</f>
        <v>71.999999999460002</v>
      </c>
      <c r="V13" s="23">
        <v>51.8</v>
      </c>
      <c r="AN13" s="45">
        <f t="shared" si="0"/>
        <v>42</v>
      </c>
    </row>
    <row r="14" spans="1:40">
      <c r="B14" t="s">
        <v>154</v>
      </c>
      <c r="C14" s="4" t="s">
        <v>283</v>
      </c>
      <c r="S14" s="50">
        <v>42</v>
      </c>
      <c r="T14" s="51">
        <f>61.538461538*1.17</f>
        <v>71.999999999460002</v>
      </c>
      <c r="AN14" s="45">
        <f t="shared" si="0"/>
        <v>449.4</v>
      </c>
    </row>
    <row r="15" spans="1:40">
      <c r="B15" t="s">
        <v>154</v>
      </c>
      <c r="C15" s="4" t="s">
        <v>281</v>
      </c>
      <c r="S15" s="50">
        <v>449.4</v>
      </c>
      <c r="T15" s="51">
        <f>61.538461538*1.17</f>
        <v>71.999999999460002</v>
      </c>
      <c r="AN15" s="45">
        <f t="shared" si="0"/>
        <v>0</v>
      </c>
    </row>
    <row r="16" spans="1:40">
      <c r="B16" t="s">
        <v>154</v>
      </c>
      <c r="C16" s="4" t="s">
        <v>74</v>
      </c>
      <c r="AN16" s="45">
        <f t="shared" si="0"/>
        <v>0</v>
      </c>
    </row>
    <row r="17" spans="2:40">
      <c r="B17" t="s">
        <v>154</v>
      </c>
      <c r="C17" s="4" t="s">
        <v>267</v>
      </c>
      <c r="AN17" s="45">
        <f t="shared" si="0"/>
        <v>0</v>
      </c>
    </row>
    <row r="18" spans="2:40">
      <c r="B18" t="s">
        <v>154</v>
      </c>
      <c r="C18" s="4" t="s">
        <v>130</v>
      </c>
      <c r="E18" s="19"/>
      <c r="AN18" s="45">
        <f t="shared" si="0"/>
        <v>0</v>
      </c>
    </row>
    <row r="19" spans="2:40">
      <c r="B19" t="s">
        <v>154</v>
      </c>
      <c r="C19" s="4" t="s">
        <v>268</v>
      </c>
      <c r="F19" s="4">
        <f>D19*E19</f>
        <v>0</v>
      </c>
      <c r="AN19" s="45">
        <f t="shared" si="0"/>
        <v>0</v>
      </c>
    </row>
    <row r="20" spans="2:40">
      <c r="B20" t="s">
        <v>154</v>
      </c>
      <c r="C20" s="4" t="s">
        <v>251</v>
      </c>
      <c r="AN20" s="45">
        <f t="shared" si="0"/>
        <v>87.1</v>
      </c>
    </row>
    <row r="21" spans="2:40">
      <c r="B21" t="s">
        <v>154</v>
      </c>
      <c r="C21" s="4" t="s">
        <v>321</v>
      </c>
      <c r="AH21">
        <v>87.1</v>
      </c>
      <c r="AI21" s="40">
        <f>45.2991455299*1.17</f>
        <v>53.000000269982998</v>
      </c>
      <c r="AN21" s="45">
        <f t="shared" si="0"/>
        <v>0</v>
      </c>
    </row>
    <row r="22" spans="2:40">
      <c r="B22" t="s">
        <v>154</v>
      </c>
      <c r="C22" s="4" t="s">
        <v>276</v>
      </c>
      <c r="AN22" s="45">
        <f t="shared" si="0"/>
        <v>0</v>
      </c>
    </row>
    <row r="23" spans="2:40">
      <c r="B23" t="s">
        <v>154</v>
      </c>
      <c r="C23" s="4" t="s">
        <v>245</v>
      </c>
      <c r="J23">
        <v>80.400000000000006</v>
      </c>
      <c r="K23" s="1">
        <f>45.299145299*1.17</f>
        <v>52.999999999830003</v>
      </c>
      <c r="AN23" s="45">
        <f t="shared" si="0"/>
        <v>87</v>
      </c>
    </row>
    <row r="24" spans="2:40">
      <c r="B24" t="s">
        <v>154</v>
      </c>
      <c r="C24" s="4" t="s">
        <v>155</v>
      </c>
      <c r="AB24">
        <v>87</v>
      </c>
      <c r="AC24" s="40">
        <f>45.2991455299*1.17</f>
        <v>53.000000269982998</v>
      </c>
      <c r="AN24" s="45">
        <f t="shared" si="0"/>
        <v>0</v>
      </c>
    </row>
    <row r="25" spans="2:40">
      <c r="B25" t="s">
        <v>154</v>
      </c>
      <c r="C25" s="4" t="s">
        <v>278</v>
      </c>
      <c r="AN25" s="45">
        <f t="shared" si="0"/>
        <v>503</v>
      </c>
    </row>
    <row r="26" spans="2:40">
      <c r="B26" t="s">
        <v>154</v>
      </c>
      <c r="C26" s="4" t="s">
        <v>217</v>
      </c>
      <c r="D26">
        <v>81.900000000000006</v>
      </c>
      <c r="E26" s="1">
        <f>39.316239316*1.17</f>
        <v>45.999999999719996</v>
      </c>
      <c r="L26" s="4">
        <f>J26*K26</f>
        <v>0</v>
      </c>
      <c r="P26">
        <v>81.400000000000006</v>
      </c>
      <c r="Q26" s="1">
        <f>39.316239316*1.17</f>
        <v>45.999999999719996</v>
      </c>
      <c r="S26" s="50">
        <v>166.7</v>
      </c>
      <c r="T26" s="1">
        <f>39.316239316*1.17</f>
        <v>45.999999999719996</v>
      </c>
      <c r="Y26">
        <v>87.3</v>
      </c>
      <c r="Z26" s="1">
        <f>38.461538462*1.17</f>
        <v>45.000000000539998</v>
      </c>
      <c r="AB26">
        <v>85.7</v>
      </c>
      <c r="AC26" s="1">
        <f>39.316239316*1.17</f>
        <v>45.999999999719996</v>
      </c>
      <c r="AN26" s="45">
        <f t="shared" si="0"/>
        <v>394.9</v>
      </c>
    </row>
    <row r="27" spans="2:40">
      <c r="B27" t="s">
        <v>154</v>
      </c>
      <c r="C27" s="4" t="s">
        <v>358</v>
      </c>
      <c r="Q27" s="1"/>
      <c r="S27" s="50">
        <v>84.9</v>
      </c>
      <c r="T27" s="1">
        <f>39.316239316*1.17</f>
        <v>45.999999999719996</v>
      </c>
      <c r="AB27">
        <f>137.5</f>
        <v>137.5</v>
      </c>
      <c r="AC27" s="1">
        <f>38.461538462*1.17</f>
        <v>45.000000000539998</v>
      </c>
      <c r="AE27">
        <v>85.9</v>
      </c>
      <c r="AF27" s="1">
        <f>38.461538462*1.17</f>
        <v>45.000000000539998</v>
      </c>
      <c r="AH27">
        <v>86.6</v>
      </c>
      <c r="AI27" s="1">
        <f>39.316239316*1.17</f>
        <v>45.999999999719996</v>
      </c>
      <c r="AN27" s="45">
        <f t="shared" si="0"/>
        <v>1721.0000000000002</v>
      </c>
    </row>
    <row r="28" spans="2:40">
      <c r="B28" t="s">
        <v>154</v>
      </c>
      <c r="C28" s="4" t="s">
        <v>266</v>
      </c>
      <c r="F28" s="4">
        <f>D28*E28</f>
        <v>0</v>
      </c>
      <c r="G28">
        <v>167</v>
      </c>
      <c r="H28" s="1">
        <f>38.461538462*1.17</f>
        <v>45.000000000539998</v>
      </c>
      <c r="J28">
        <v>241.6</v>
      </c>
      <c r="K28" s="1">
        <f>36.752136752*1.17</f>
        <v>42.999999999839993</v>
      </c>
      <c r="M28">
        <v>242.9</v>
      </c>
      <c r="N28" s="1">
        <f>36.752136752*1.17</f>
        <v>42.999999999839993</v>
      </c>
      <c r="S28" s="50">
        <v>251.4</v>
      </c>
      <c r="T28" s="51">
        <f>36.752136752*1.17</f>
        <v>42.999999999839993</v>
      </c>
      <c r="Y28">
        <v>86.2</v>
      </c>
      <c r="Z28" s="51">
        <f>36.752136752*1.17</f>
        <v>42.999999999839993</v>
      </c>
      <c r="AB28">
        <v>178</v>
      </c>
      <c r="AC28" s="51">
        <f>36.752136752*1.17</f>
        <v>42.999999999839993</v>
      </c>
      <c r="AE28">
        <f>87.8+88.6</f>
        <v>176.39999999999998</v>
      </c>
      <c r="AF28" s="51">
        <f>36.752136752*1.17</f>
        <v>42.999999999839993</v>
      </c>
      <c r="AH28">
        <f>88.8+88.6</f>
        <v>177.39999999999998</v>
      </c>
      <c r="AI28" s="51">
        <f>36.752136752*1.17</f>
        <v>42.999999999839993</v>
      </c>
      <c r="AK28">
        <v>441.7</v>
      </c>
      <c r="AL28" s="51">
        <f>36.752136752*1.17</f>
        <v>42.999999999839993</v>
      </c>
      <c r="AN28" s="45">
        <f t="shared" si="0"/>
        <v>1622.8</v>
      </c>
    </row>
    <row r="29" spans="2:40">
      <c r="B29" s="65" t="s">
        <v>154</v>
      </c>
      <c r="C29" s="65" t="s">
        <v>336</v>
      </c>
      <c r="H29" s="16"/>
      <c r="I29" s="13"/>
      <c r="J29" s="13">
        <v>163.80000000000001</v>
      </c>
      <c r="K29" s="1">
        <f>36.752136752*1.17</f>
        <v>42.999999999839993</v>
      </c>
      <c r="L29" s="13"/>
      <c r="M29" s="66"/>
      <c r="N29" s="58"/>
      <c r="O29" s="59"/>
      <c r="P29" s="59">
        <v>171</v>
      </c>
      <c r="Q29" s="1">
        <f>36.752136752*1.17</f>
        <v>42.999999999839993</v>
      </c>
      <c r="R29" s="61"/>
      <c r="S29" s="62"/>
      <c r="T29" s="63"/>
      <c r="U29" s="62"/>
      <c r="V29" s="61">
        <f>523.6+497.3</f>
        <v>1020.9000000000001</v>
      </c>
      <c r="W29" s="1">
        <f>36.752136752*1.17</f>
        <v>42.999999999839993</v>
      </c>
      <c r="X29" s="61"/>
      <c r="Y29">
        <v>88.6</v>
      </c>
      <c r="Z29" s="1">
        <f>36.752136752*1.17</f>
        <v>42.999999999839993</v>
      </c>
      <c r="AB29">
        <v>177.3</v>
      </c>
      <c r="AC29" s="51">
        <f>36.752136752*1.17</f>
        <v>42.999999999839993</v>
      </c>
      <c r="AE29">
        <v>165</v>
      </c>
      <c r="AF29" s="51">
        <f>36.752136752*1.17</f>
        <v>42.999999999839993</v>
      </c>
      <c r="AN29" s="45">
        <f t="shared" si="0"/>
        <v>1541.1</v>
      </c>
    </row>
    <row r="30" spans="2:40">
      <c r="B30" s="65" t="s">
        <v>154</v>
      </c>
      <c r="C30" s="65" t="s">
        <v>351</v>
      </c>
      <c r="H30" s="16"/>
      <c r="I30" s="13"/>
      <c r="J30" s="13"/>
      <c r="L30" s="13"/>
      <c r="M30" s="13">
        <f>521.4+319</f>
        <v>840.4</v>
      </c>
      <c r="N30" s="1">
        <f>36.752136752*1.17</f>
        <v>42.999999999839993</v>
      </c>
      <c r="P30" s="13"/>
      <c r="Q30" s="30"/>
      <c r="S30" s="48"/>
      <c r="T30" s="49"/>
      <c r="V30" s="22"/>
      <c r="W30" s="16"/>
      <c r="AE30">
        <v>700.7</v>
      </c>
      <c r="AF30" s="51">
        <f>36.752136752*1.17</f>
        <v>42.999999999839993</v>
      </c>
      <c r="AN30" s="45">
        <f t="shared" si="0"/>
        <v>0</v>
      </c>
    </row>
    <row r="31" spans="2:40">
      <c r="B31" t="s">
        <v>154</v>
      </c>
      <c r="C31" s="4" t="s">
        <v>269</v>
      </c>
      <c r="F31" s="4">
        <f>D31*E31</f>
        <v>0</v>
      </c>
      <c r="AN31" s="45">
        <f t="shared" si="0"/>
        <v>331.4</v>
      </c>
    </row>
    <row r="32" spans="2:40">
      <c r="B32" t="s">
        <v>154</v>
      </c>
      <c r="C32" s="4" t="s">
        <v>349</v>
      </c>
      <c r="M32">
        <v>83.6</v>
      </c>
      <c r="N32" s="1">
        <f>36.752136752*1.17</f>
        <v>42.999999999839993</v>
      </c>
      <c r="Y32">
        <v>82</v>
      </c>
      <c r="Z32" s="1">
        <f>36.752136752*1.17</f>
        <v>42.999999999839993</v>
      </c>
      <c r="AH32">
        <v>82.1</v>
      </c>
      <c r="AI32" s="51">
        <f>36.752136752*1.17</f>
        <v>42.999999999839993</v>
      </c>
      <c r="AK32">
        <v>83.7</v>
      </c>
      <c r="AL32" s="1">
        <f>35.897435897*1.17</f>
        <v>41.999999999490001</v>
      </c>
      <c r="AN32" s="45">
        <f t="shared" si="0"/>
        <v>579.79999999999995</v>
      </c>
    </row>
    <row r="33" spans="1:40">
      <c r="B33" t="s">
        <v>154</v>
      </c>
      <c r="C33" s="4" t="s">
        <v>275</v>
      </c>
      <c r="S33" s="50">
        <v>72.599999999999994</v>
      </c>
      <c r="T33" s="1">
        <f>36.752136752*1.17</f>
        <v>42.999999999839993</v>
      </c>
      <c r="AK33">
        <v>507.2</v>
      </c>
      <c r="AL33" s="1">
        <f>35.897435897*1.17</f>
        <v>41.999999999490001</v>
      </c>
      <c r="AN33" s="45">
        <f t="shared" si="0"/>
        <v>67</v>
      </c>
    </row>
    <row r="34" spans="1:40">
      <c r="B34" t="s">
        <v>154</v>
      </c>
      <c r="C34" s="4" t="s">
        <v>350</v>
      </c>
      <c r="M34">
        <v>32.299999999999997</v>
      </c>
      <c r="N34" s="1">
        <f>35.897435897*1.17</f>
        <v>41.999999999490001</v>
      </c>
      <c r="AH34">
        <v>34.700000000000003</v>
      </c>
      <c r="AI34" s="51">
        <f>36.752136752*1.17</f>
        <v>42.999999999839993</v>
      </c>
      <c r="AN34" s="45">
        <f t="shared" si="0"/>
        <v>84.8</v>
      </c>
    </row>
    <row r="35" spans="1:40">
      <c r="B35" t="s">
        <v>154</v>
      </c>
      <c r="C35" s="4" t="s">
        <v>191</v>
      </c>
      <c r="E35" s="19"/>
      <c r="AB35">
        <v>84.8</v>
      </c>
      <c r="AC35" s="51">
        <f>36.752136752*1.17</f>
        <v>42.999999999839993</v>
      </c>
      <c r="AN35" s="45">
        <f t="shared" si="0"/>
        <v>0</v>
      </c>
    </row>
    <row r="36" spans="1:40">
      <c r="B36" t="s">
        <v>154</v>
      </c>
      <c r="C36" s="4" t="s">
        <v>126</v>
      </c>
      <c r="AN36" s="45">
        <f t="shared" si="0"/>
        <v>37.4</v>
      </c>
    </row>
    <row r="37" spans="1:40">
      <c r="B37" t="s">
        <v>109</v>
      </c>
      <c r="C37" s="4" t="s">
        <v>108</v>
      </c>
      <c r="D37">
        <v>37.4</v>
      </c>
      <c r="E37" s="1">
        <f>52.136752137*1.17</f>
        <v>61.000000000290001</v>
      </c>
      <c r="AN37" s="45">
        <f t="shared" si="0"/>
        <v>38.74</v>
      </c>
    </row>
    <row r="38" spans="1:40">
      <c r="A38" s="13"/>
      <c r="B38" t="s">
        <v>194</v>
      </c>
      <c r="C38" s="4" t="s">
        <v>195</v>
      </c>
      <c r="D38" s="13"/>
      <c r="E38" s="16"/>
      <c r="G38" s="13"/>
      <c r="H38" s="16"/>
      <c r="J38" s="13"/>
      <c r="K38" s="16"/>
      <c r="L38" s="4">
        <f>J38*K38</f>
        <v>0</v>
      </c>
      <c r="M38" s="13"/>
      <c r="N38" s="16"/>
      <c r="P38" s="13">
        <v>38.74</v>
      </c>
      <c r="Q38" s="30">
        <f>51.282051282*1.17</f>
        <v>59.999999999939995</v>
      </c>
      <c r="S38" s="48"/>
      <c r="T38" s="49"/>
      <c r="V38" s="22"/>
      <c r="W38" s="16"/>
      <c r="Y38" s="13"/>
      <c r="Z38" s="16"/>
      <c r="AB38" s="13"/>
      <c r="AC38" s="16"/>
      <c r="AE38" s="13"/>
      <c r="AF38" s="16"/>
      <c r="AH38" s="13"/>
      <c r="AI38" s="16"/>
      <c r="AK38" s="13"/>
      <c r="AL38" s="16"/>
      <c r="AN38" s="45">
        <f t="shared" si="0"/>
        <v>0</v>
      </c>
    </row>
    <row r="39" spans="1:40">
      <c r="B39" t="s">
        <v>1</v>
      </c>
      <c r="C39" s="4" t="s">
        <v>126</v>
      </c>
      <c r="AN39" s="45">
        <f t="shared" si="0"/>
        <v>0</v>
      </c>
    </row>
    <row r="40" spans="1:40">
      <c r="B40" t="s">
        <v>135</v>
      </c>
      <c r="C40" s="4" t="s">
        <v>156</v>
      </c>
      <c r="AN40" s="45">
        <f t="shared" si="0"/>
        <v>0</v>
      </c>
    </row>
    <row r="41" spans="1:40">
      <c r="B41" t="s">
        <v>135</v>
      </c>
      <c r="C41" s="4" t="s">
        <v>136</v>
      </c>
      <c r="AN41" s="45">
        <f t="shared" si="0"/>
        <v>59.81</v>
      </c>
    </row>
    <row r="42" spans="1:40">
      <c r="B42" t="s">
        <v>3</v>
      </c>
      <c r="C42" s="4" t="s">
        <v>151</v>
      </c>
      <c r="D42" s="3"/>
      <c r="G42">
        <f>7.21+23.2</f>
        <v>30.41</v>
      </c>
      <c r="H42" s="1">
        <f>777.77777778*1.17</f>
        <v>910.0000000025999</v>
      </c>
      <c r="S42" s="50">
        <f>14.8+14.6</f>
        <v>29.4</v>
      </c>
      <c r="T42" s="51">
        <f>760.68376068*1.17</f>
        <v>889.99999999559986</v>
      </c>
      <c r="AN42" s="45">
        <f t="shared" si="0"/>
        <v>0</v>
      </c>
    </row>
    <row r="43" spans="1:40">
      <c r="B43" t="s">
        <v>3</v>
      </c>
      <c r="C43" s="4" t="s">
        <v>187</v>
      </c>
      <c r="AN43" s="45">
        <f t="shared" si="0"/>
        <v>0</v>
      </c>
    </row>
    <row r="44" spans="1:40">
      <c r="B44" t="s">
        <v>3</v>
      </c>
      <c r="C44" s="4" t="s">
        <v>132</v>
      </c>
      <c r="AN44" s="45">
        <f t="shared" si="0"/>
        <v>22.93</v>
      </c>
    </row>
    <row r="45" spans="1:40">
      <c r="B45" t="s">
        <v>3</v>
      </c>
      <c r="C45" s="4" t="s">
        <v>159</v>
      </c>
      <c r="G45">
        <v>22.93</v>
      </c>
      <c r="H45" s="1">
        <f>350.42735043*1.17</f>
        <v>410.00000000309996</v>
      </c>
      <c r="AN45" s="45">
        <f t="shared" si="0"/>
        <v>371.31</v>
      </c>
    </row>
    <row r="46" spans="1:40">
      <c r="B46" t="s">
        <v>3</v>
      </c>
      <c r="C46" s="4" t="s">
        <v>4</v>
      </c>
      <c r="F46" s="4">
        <f>D46*E46</f>
        <v>0</v>
      </c>
      <c r="G46">
        <v>61.21</v>
      </c>
      <c r="H46" s="1">
        <f>119.65811966*1.17</f>
        <v>140.00000000219998</v>
      </c>
      <c r="J46">
        <f>31.73+32.18</f>
        <v>63.91</v>
      </c>
      <c r="K46" s="1">
        <f>119.65811966*1.17</f>
        <v>140.00000000219998</v>
      </c>
      <c r="M46">
        <v>47.74</v>
      </c>
      <c r="N46" s="1">
        <f>119.65811966*1.17</f>
        <v>140.00000000219998</v>
      </c>
      <c r="Y46">
        <v>63.37</v>
      </c>
      <c r="Z46" s="1">
        <f>119.65811966*1.17</f>
        <v>140.00000000219998</v>
      </c>
      <c r="AB46">
        <v>61.62</v>
      </c>
      <c r="AC46" s="1">
        <f>119.65811966*1.17</f>
        <v>140.00000000219998</v>
      </c>
      <c r="AE46">
        <v>49.39</v>
      </c>
      <c r="AF46" s="1">
        <f>119.65811966*1.17</f>
        <v>140.00000000219998</v>
      </c>
      <c r="AH46">
        <v>29.13</v>
      </c>
      <c r="AI46" s="1">
        <f>119.65811966*1.17</f>
        <v>140.00000000219998</v>
      </c>
      <c r="AK46">
        <v>58.85</v>
      </c>
      <c r="AL46" s="1">
        <f>119.65811966*1.17</f>
        <v>140.00000000219998</v>
      </c>
      <c r="AN46" s="45">
        <f t="shared" si="0"/>
        <v>63.95</v>
      </c>
    </row>
    <row r="47" spans="1:40">
      <c r="B47" t="s">
        <v>3</v>
      </c>
      <c r="C47" s="4" t="s">
        <v>107</v>
      </c>
      <c r="M47">
        <v>63.95</v>
      </c>
      <c r="N47" s="1">
        <f>119.65811966*1.17</f>
        <v>140.00000000219998</v>
      </c>
      <c r="AN47" s="45">
        <f t="shared" si="0"/>
        <v>0</v>
      </c>
    </row>
    <row r="48" spans="1:40">
      <c r="B48" t="s">
        <v>220</v>
      </c>
      <c r="C48" s="4" t="s">
        <v>221</v>
      </c>
      <c r="AN48" s="45">
        <f t="shared" si="0"/>
        <v>509.46999999999997</v>
      </c>
    </row>
    <row r="49" spans="2:40">
      <c r="B49" t="s">
        <v>3</v>
      </c>
      <c r="C49" s="4" t="s">
        <v>8</v>
      </c>
      <c r="D49">
        <v>103.4</v>
      </c>
      <c r="E49" s="1">
        <f>51.282051282*1.17</f>
        <v>59.999999999939995</v>
      </c>
      <c r="J49">
        <v>133.91</v>
      </c>
      <c r="K49" s="1">
        <f>51.282051282*1.17</f>
        <v>59.999999999939995</v>
      </c>
      <c r="S49" s="50">
        <v>66.94</v>
      </c>
      <c r="T49" s="1">
        <f>51.282051282*1.17</f>
        <v>59.999999999939995</v>
      </c>
      <c r="Y49">
        <v>102.49</v>
      </c>
      <c r="Z49" s="1">
        <f>51.282051282*1.17</f>
        <v>59.999999999939995</v>
      </c>
      <c r="AB49">
        <f>32.71+101.72</f>
        <v>134.43</v>
      </c>
      <c r="AC49" s="1">
        <f>51.282051282*1.17</f>
        <v>59.999999999939995</v>
      </c>
      <c r="AH49">
        <v>102.21</v>
      </c>
      <c r="AI49" s="1">
        <f>51.282051282*1.17</f>
        <v>59.999999999939995</v>
      </c>
      <c r="AN49" s="45">
        <f t="shared" si="0"/>
        <v>55.72</v>
      </c>
    </row>
    <row r="50" spans="2:40">
      <c r="B50" t="s">
        <v>3</v>
      </c>
      <c r="C50" s="4" t="s">
        <v>77</v>
      </c>
      <c r="AB50">
        <v>55.72</v>
      </c>
      <c r="AC50" s="1">
        <f>51.282051282*1.17</f>
        <v>59.999999999939995</v>
      </c>
      <c r="AN50" s="45">
        <f t="shared" si="0"/>
        <v>168.72</v>
      </c>
    </row>
    <row r="51" spans="2:40">
      <c r="B51" t="s">
        <v>3</v>
      </c>
      <c r="C51" s="4" t="s">
        <v>335</v>
      </c>
      <c r="G51">
        <v>39.44</v>
      </c>
      <c r="H51" s="1">
        <f>51.282051282*1.17</f>
        <v>59.999999999939995</v>
      </c>
      <c r="P51">
        <v>43.31</v>
      </c>
      <c r="Q51" s="1">
        <f>51.282051282*1.17</f>
        <v>59.999999999939995</v>
      </c>
      <c r="AB51">
        <v>42.51</v>
      </c>
      <c r="AC51" s="1">
        <f>51.282051282*1.17</f>
        <v>59.999999999939995</v>
      </c>
      <c r="AH51">
        <v>43.46</v>
      </c>
      <c r="AI51" s="1">
        <f>51.282051282*1.17</f>
        <v>59.999999999939995</v>
      </c>
      <c r="AN51" s="45">
        <f t="shared" si="0"/>
        <v>0</v>
      </c>
    </row>
    <row r="52" spans="2:40">
      <c r="B52" t="s">
        <v>133</v>
      </c>
      <c r="C52" s="4" t="s">
        <v>158</v>
      </c>
      <c r="AN52" s="45">
        <f t="shared" si="0"/>
        <v>0</v>
      </c>
    </row>
    <row r="53" spans="2:40">
      <c r="B53" t="s">
        <v>133</v>
      </c>
      <c r="C53" s="4" t="s">
        <v>138</v>
      </c>
      <c r="AN53" s="45">
        <f t="shared" si="0"/>
        <v>7.33</v>
      </c>
    </row>
    <row r="54" spans="2:40">
      <c r="B54" t="s">
        <v>133</v>
      </c>
      <c r="C54" s="4" t="s">
        <v>362</v>
      </c>
      <c r="AE54">
        <v>7.33</v>
      </c>
      <c r="AF54" s="1">
        <f>38.461538462*1.17</f>
        <v>45.000000000539998</v>
      </c>
      <c r="AN54" s="45">
        <f t="shared" si="0"/>
        <v>0</v>
      </c>
    </row>
    <row r="55" spans="2:40">
      <c r="B55" t="s">
        <v>133</v>
      </c>
      <c r="C55" s="4" t="s">
        <v>225</v>
      </c>
      <c r="AN55" s="45">
        <f t="shared" si="0"/>
        <v>0</v>
      </c>
    </row>
    <row r="56" spans="2:40">
      <c r="B56" t="s">
        <v>133</v>
      </c>
      <c r="C56" s="4" t="s">
        <v>134</v>
      </c>
      <c r="AN56" s="45">
        <f t="shared" si="0"/>
        <v>9.16</v>
      </c>
    </row>
    <row r="57" spans="2:40">
      <c r="B57" t="s">
        <v>133</v>
      </c>
      <c r="C57" s="4" t="s">
        <v>368</v>
      </c>
      <c r="AK57">
        <v>9.16</v>
      </c>
      <c r="AL57" s="1">
        <f>36.752136752*1.17</f>
        <v>42.999999999839993</v>
      </c>
      <c r="AN57" s="45">
        <f t="shared" si="0"/>
        <v>497.3</v>
      </c>
    </row>
    <row r="58" spans="2:40">
      <c r="B58" t="s">
        <v>133</v>
      </c>
      <c r="C58" s="4" t="s">
        <v>361</v>
      </c>
      <c r="V58" s="23">
        <v>497.3</v>
      </c>
      <c r="W58" s="1">
        <f>36.752136752*1.17</f>
        <v>42.999999999839993</v>
      </c>
      <c r="AN58" s="45">
        <f t="shared" si="0"/>
        <v>0</v>
      </c>
    </row>
    <row r="59" spans="2:40">
      <c r="B59" t="s">
        <v>133</v>
      </c>
      <c r="C59" s="4" t="s">
        <v>244</v>
      </c>
      <c r="AN59" s="45">
        <f t="shared" si="0"/>
        <v>0</v>
      </c>
    </row>
    <row r="60" spans="2:40">
      <c r="B60" t="s">
        <v>364</v>
      </c>
      <c r="C60" s="4" t="s">
        <v>227</v>
      </c>
      <c r="AN60" s="45">
        <f t="shared" si="0"/>
        <v>0</v>
      </c>
    </row>
    <row r="61" spans="2:40">
      <c r="B61" t="s">
        <v>364</v>
      </c>
      <c r="C61" s="4" t="s">
        <v>280</v>
      </c>
      <c r="AN61" s="45">
        <f t="shared" si="0"/>
        <v>0</v>
      </c>
    </row>
    <row r="62" spans="2:40">
      <c r="B62" t="s">
        <v>364</v>
      </c>
      <c r="C62" s="4" t="s">
        <v>65</v>
      </c>
      <c r="AN62" s="45">
        <f t="shared" si="0"/>
        <v>0</v>
      </c>
    </row>
    <row r="63" spans="2:40">
      <c r="B63" t="s">
        <v>364</v>
      </c>
      <c r="C63" s="4" t="s">
        <v>130</v>
      </c>
      <c r="AN63" s="45">
        <f t="shared" si="0"/>
        <v>0</v>
      </c>
    </row>
    <row r="64" spans="2:40">
      <c r="B64" t="s">
        <v>364</v>
      </c>
      <c r="C64" s="4" t="s">
        <v>196</v>
      </c>
      <c r="E64" s="19"/>
      <c r="AN64" s="45">
        <f t="shared" si="0"/>
        <v>0</v>
      </c>
    </row>
    <row r="65" spans="2:40">
      <c r="B65" t="s">
        <v>364</v>
      </c>
      <c r="C65" s="4" t="s">
        <v>184</v>
      </c>
      <c r="AN65" s="45">
        <f t="shared" si="0"/>
        <v>0</v>
      </c>
    </row>
    <row r="66" spans="2:40">
      <c r="B66" t="s">
        <v>364</v>
      </c>
      <c r="C66" s="4" t="s">
        <v>213</v>
      </c>
      <c r="AN66" s="45">
        <f t="shared" si="0"/>
        <v>0</v>
      </c>
    </row>
    <row r="67" spans="2:40">
      <c r="B67" t="s">
        <v>364</v>
      </c>
      <c r="C67" s="4" t="s">
        <v>193</v>
      </c>
      <c r="E67" s="19"/>
      <c r="AN67" s="45">
        <f t="shared" si="0"/>
        <v>11.37</v>
      </c>
    </row>
    <row r="68" spans="2:40">
      <c r="B68" t="s">
        <v>364</v>
      </c>
      <c r="C68" s="4" t="s">
        <v>365</v>
      </c>
      <c r="E68" s="19"/>
      <c r="AK68">
        <v>11.37</v>
      </c>
      <c r="AL68" s="1">
        <f>55.55555556*1.17</f>
        <v>65.000000005199993</v>
      </c>
      <c r="AN68" s="45">
        <f t="shared" ref="AN68:AN131" si="1">D69+G69+M69+P69+S69+V69+Y69+AB69+AE69+AH69+AK69</f>
        <v>12.7</v>
      </c>
    </row>
    <row r="69" spans="2:40">
      <c r="B69" t="s">
        <v>366</v>
      </c>
      <c r="C69" s="4" t="s">
        <v>367</v>
      </c>
      <c r="E69" s="19"/>
      <c r="AK69">
        <v>12.7</v>
      </c>
      <c r="AL69" s="1">
        <f>51.282051282*1.17</f>
        <v>59.999999999939995</v>
      </c>
      <c r="AN69" s="45">
        <f t="shared" si="1"/>
        <v>0</v>
      </c>
    </row>
    <row r="70" spans="2:40">
      <c r="B70" t="s">
        <v>364</v>
      </c>
      <c r="C70" s="4" t="s">
        <v>327</v>
      </c>
      <c r="E70" s="19"/>
      <c r="AN70" s="45">
        <f t="shared" si="1"/>
        <v>0</v>
      </c>
    </row>
    <row r="71" spans="2:40">
      <c r="B71" t="s">
        <v>364</v>
      </c>
      <c r="C71" s="4" t="s">
        <v>217</v>
      </c>
      <c r="AN71" s="45">
        <f t="shared" si="1"/>
        <v>0</v>
      </c>
    </row>
    <row r="72" spans="2:40">
      <c r="B72" t="s">
        <v>364</v>
      </c>
      <c r="C72" s="4" t="s">
        <v>277</v>
      </c>
      <c r="AN72" s="45">
        <f t="shared" si="1"/>
        <v>0</v>
      </c>
    </row>
    <row r="73" spans="2:40">
      <c r="B73" t="s">
        <v>364</v>
      </c>
      <c r="C73" s="4" t="s">
        <v>214</v>
      </c>
      <c r="E73" s="19"/>
      <c r="AN73" s="45">
        <f t="shared" si="1"/>
        <v>0</v>
      </c>
    </row>
    <row r="74" spans="2:40">
      <c r="B74" t="s">
        <v>364</v>
      </c>
      <c r="C74" s="4" t="s">
        <v>216</v>
      </c>
      <c r="AN74" s="45">
        <f t="shared" si="1"/>
        <v>0</v>
      </c>
    </row>
    <row r="75" spans="2:40">
      <c r="B75" t="s">
        <v>364</v>
      </c>
      <c r="C75" s="4" t="s">
        <v>137</v>
      </c>
      <c r="AN75" s="45">
        <f t="shared" si="1"/>
        <v>0</v>
      </c>
    </row>
    <row r="76" spans="2:40">
      <c r="B76" t="s">
        <v>364</v>
      </c>
      <c r="C76" s="4" t="s">
        <v>286</v>
      </c>
      <c r="AN76" s="45">
        <f t="shared" si="1"/>
        <v>0</v>
      </c>
    </row>
    <row r="77" spans="2:40">
      <c r="B77" t="s">
        <v>364</v>
      </c>
      <c r="C77" s="4" t="s">
        <v>219</v>
      </c>
      <c r="AN77" s="45">
        <f t="shared" si="1"/>
        <v>0</v>
      </c>
    </row>
    <row r="78" spans="2:40">
      <c r="B78" t="s">
        <v>364</v>
      </c>
      <c r="C78" s="4" t="s">
        <v>190</v>
      </c>
      <c r="AN78" s="45">
        <f t="shared" si="1"/>
        <v>0</v>
      </c>
    </row>
    <row r="79" spans="2:40">
      <c r="B79" t="s">
        <v>364</v>
      </c>
      <c r="C79" s="4" t="s">
        <v>167</v>
      </c>
      <c r="AN79" s="45">
        <f t="shared" si="1"/>
        <v>0</v>
      </c>
    </row>
    <row r="80" spans="2:40">
      <c r="B80" t="s">
        <v>102</v>
      </c>
      <c r="C80" s="4" t="s">
        <v>192</v>
      </c>
      <c r="AN80" s="45">
        <f t="shared" si="1"/>
        <v>0</v>
      </c>
    </row>
    <row r="81" spans="2:40">
      <c r="B81" t="s">
        <v>102</v>
      </c>
      <c r="C81" s="4" t="s">
        <v>199</v>
      </c>
      <c r="AN81" s="45">
        <f t="shared" si="1"/>
        <v>0</v>
      </c>
    </row>
    <row r="82" spans="2:40">
      <c r="B82" t="s">
        <v>102</v>
      </c>
      <c r="C82" s="4" t="s">
        <v>103</v>
      </c>
      <c r="AN82" s="45">
        <f t="shared" si="1"/>
        <v>0</v>
      </c>
    </row>
    <row r="83" spans="2:40">
      <c r="B83" t="s">
        <v>49</v>
      </c>
      <c r="C83" s="4" t="s">
        <v>131</v>
      </c>
      <c r="AN83" s="45">
        <f t="shared" si="1"/>
        <v>0</v>
      </c>
    </row>
    <row r="84" spans="2:40">
      <c r="B84" t="s">
        <v>49</v>
      </c>
      <c r="C84" s="4" t="s">
        <v>106</v>
      </c>
      <c r="F84" s="4">
        <f>D84*E84</f>
        <v>0</v>
      </c>
      <c r="AK84" s="8"/>
      <c r="AN84" s="45">
        <f t="shared" si="1"/>
        <v>0</v>
      </c>
    </row>
    <row r="85" spans="2:40">
      <c r="B85" t="s">
        <v>49</v>
      </c>
      <c r="C85" s="4" t="s">
        <v>260</v>
      </c>
      <c r="F85" s="4">
        <f>D85*E85</f>
        <v>0</v>
      </c>
      <c r="AN85" s="45">
        <f t="shared" si="1"/>
        <v>0</v>
      </c>
    </row>
    <row r="86" spans="2:40">
      <c r="B86" t="s">
        <v>49</v>
      </c>
      <c r="C86" s="4" t="s">
        <v>110</v>
      </c>
      <c r="F86" s="4">
        <f>D86*E86</f>
        <v>0</v>
      </c>
      <c r="AN86" s="45">
        <f t="shared" si="1"/>
        <v>0</v>
      </c>
    </row>
    <row r="87" spans="2:40">
      <c r="B87" t="s">
        <v>49</v>
      </c>
      <c r="C87" s="4" t="s">
        <v>65</v>
      </c>
      <c r="E87" s="19"/>
      <c r="AN87" s="45">
        <f t="shared" si="1"/>
        <v>0</v>
      </c>
    </row>
    <row r="88" spans="2:40">
      <c r="B88" t="s">
        <v>49</v>
      </c>
      <c r="C88" s="4" t="s">
        <v>74</v>
      </c>
      <c r="AN88" s="45">
        <f t="shared" si="1"/>
        <v>0</v>
      </c>
    </row>
    <row r="89" spans="2:40">
      <c r="B89" t="s">
        <v>49</v>
      </c>
      <c r="C89" s="4" t="s">
        <v>50</v>
      </c>
      <c r="AN89" s="45">
        <f t="shared" si="1"/>
        <v>0</v>
      </c>
    </row>
    <row r="90" spans="2:40">
      <c r="B90" t="s">
        <v>49</v>
      </c>
      <c r="C90" s="4" t="s">
        <v>130</v>
      </c>
      <c r="AN90" s="45">
        <f t="shared" si="1"/>
        <v>0</v>
      </c>
    </row>
    <row r="91" spans="2:40">
      <c r="B91" t="s">
        <v>49</v>
      </c>
      <c r="C91" s="4" t="s">
        <v>48</v>
      </c>
      <c r="AN91" s="45">
        <f t="shared" si="1"/>
        <v>0</v>
      </c>
    </row>
    <row r="92" spans="2:40">
      <c r="B92" t="s">
        <v>49</v>
      </c>
      <c r="C92" s="4" t="s">
        <v>73</v>
      </c>
      <c r="AN92" s="45">
        <f t="shared" si="1"/>
        <v>0</v>
      </c>
    </row>
    <row r="93" spans="2:40">
      <c r="B93" t="s">
        <v>49</v>
      </c>
      <c r="C93" s="4" t="s">
        <v>266</v>
      </c>
      <c r="F93" s="4">
        <f>D93*E93</f>
        <v>0</v>
      </c>
      <c r="AN93" s="45">
        <f t="shared" si="1"/>
        <v>0</v>
      </c>
    </row>
    <row r="94" spans="2:40">
      <c r="D94" s="3"/>
      <c r="AN94" s="45">
        <f t="shared" si="1"/>
        <v>0</v>
      </c>
    </row>
    <row r="95" spans="2:40" s="5" customFormat="1">
      <c r="C95" s="7"/>
      <c r="E95" s="17"/>
      <c r="F95" s="9"/>
      <c r="H95" s="17"/>
      <c r="I95" s="7"/>
      <c r="K95" s="17"/>
      <c r="L95" s="9"/>
      <c r="N95" s="17"/>
      <c r="O95" s="7"/>
      <c r="Q95" s="32"/>
      <c r="R95" s="9"/>
      <c r="S95" s="52"/>
      <c r="T95" s="53"/>
      <c r="U95" s="54"/>
      <c r="V95" s="24"/>
      <c r="W95" s="17"/>
      <c r="X95" s="9"/>
      <c r="Z95" s="17"/>
      <c r="AA95" s="7"/>
      <c r="AC95" s="17"/>
      <c r="AD95" s="7"/>
      <c r="AF95" s="17"/>
      <c r="AG95" s="7"/>
      <c r="AI95" s="17"/>
      <c r="AJ95" s="7"/>
      <c r="AL95" s="17"/>
      <c r="AM95" s="7"/>
      <c r="AN95" s="45">
        <f t="shared" si="1"/>
        <v>0</v>
      </c>
    </row>
    <row r="96" spans="2:40" ht="8.25" customHeight="1">
      <c r="AN96" s="45">
        <f t="shared" si="1"/>
        <v>0</v>
      </c>
    </row>
    <row r="97" spans="1:40">
      <c r="A97" t="s">
        <v>9</v>
      </c>
      <c r="B97" t="s">
        <v>10</v>
      </c>
      <c r="C97" s="4" t="s">
        <v>237</v>
      </c>
      <c r="AN97" s="45">
        <f t="shared" si="1"/>
        <v>0</v>
      </c>
    </row>
    <row r="98" spans="1:40">
      <c r="B98" t="s">
        <v>10</v>
      </c>
      <c r="C98" s="4" t="s">
        <v>251</v>
      </c>
      <c r="AN98" s="45">
        <f t="shared" si="1"/>
        <v>89</v>
      </c>
    </row>
    <row r="99" spans="1:40">
      <c r="B99" t="s">
        <v>10</v>
      </c>
      <c r="C99" s="4" t="s">
        <v>183</v>
      </c>
      <c r="G99">
        <v>12.7</v>
      </c>
      <c r="H99" s="1">
        <f>64.102564103*1.17</f>
        <v>75.000000000509999</v>
      </c>
      <c r="M99">
        <v>76.3</v>
      </c>
      <c r="N99" s="1">
        <f>64.102564103*1.17</f>
        <v>75.000000000509999</v>
      </c>
      <c r="AN99" s="45">
        <f t="shared" si="1"/>
        <v>303</v>
      </c>
    </row>
    <row r="100" spans="1:40">
      <c r="B100" t="s">
        <v>10</v>
      </c>
      <c r="C100" s="4" t="s">
        <v>250</v>
      </c>
      <c r="G100">
        <v>72.2</v>
      </c>
      <c r="H100" s="1">
        <f>58.11965812*1.17</f>
        <v>68.000000000399993</v>
      </c>
      <c r="M100">
        <v>68.400000000000006</v>
      </c>
      <c r="N100" s="1">
        <f>54.700854701*1.17</f>
        <v>64.00000000016999</v>
      </c>
      <c r="P100">
        <v>83.6</v>
      </c>
      <c r="Q100" s="1">
        <f>58.11965812*1.17</f>
        <v>68.000000000399993</v>
      </c>
      <c r="AK100">
        <v>78.8</v>
      </c>
      <c r="AL100" s="1">
        <f>58.11965812*1.17</f>
        <v>68.000000000399993</v>
      </c>
      <c r="AN100" s="45">
        <f t="shared" si="1"/>
        <v>1418.0000000000002</v>
      </c>
    </row>
    <row r="101" spans="1:40">
      <c r="B101" t="s">
        <v>10</v>
      </c>
      <c r="C101" s="4" t="s">
        <v>46</v>
      </c>
      <c r="F101" s="4">
        <f>D101*E101</f>
        <v>0</v>
      </c>
      <c r="G101">
        <v>68.900000000000006</v>
      </c>
      <c r="H101" s="1">
        <f>58.11965812*1.17</f>
        <v>68.000000000399993</v>
      </c>
      <c r="J101">
        <v>207.8</v>
      </c>
      <c r="K101" s="1">
        <f>58.11965812*1.17</f>
        <v>68.000000000399993</v>
      </c>
      <c r="P101">
        <v>81.7</v>
      </c>
      <c r="Q101" s="1">
        <f>58.11965812*1.17</f>
        <v>68.000000000399993</v>
      </c>
      <c r="S101" s="50">
        <v>169.1</v>
      </c>
      <c r="T101" s="1">
        <f>58.11965812*1.17</f>
        <v>68.000000000399993</v>
      </c>
      <c r="V101" s="23">
        <v>192.7</v>
      </c>
      <c r="W101" s="1">
        <f>58.11965812*1.17</f>
        <v>68.000000000399993</v>
      </c>
      <c r="Y101">
        <v>147.6</v>
      </c>
      <c r="Z101" s="1">
        <f>58.11965812*1.17</f>
        <v>68.000000000399993</v>
      </c>
      <c r="AB101">
        <v>140.9</v>
      </c>
      <c r="AC101" s="1">
        <f>58.11965812*1.17</f>
        <v>68.000000000399993</v>
      </c>
      <c r="AE101">
        <v>141.19999999999999</v>
      </c>
      <c r="AF101" s="1">
        <f>58.11965812*1.17</f>
        <v>68.000000000399993</v>
      </c>
      <c r="AH101">
        <v>146.9</v>
      </c>
      <c r="AI101" s="1">
        <f>58.11965812*1.17</f>
        <v>68.000000000399993</v>
      </c>
      <c r="AK101">
        <v>329</v>
      </c>
      <c r="AL101" s="1">
        <f>58.11965812*1.17</f>
        <v>68.000000000399993</v>
      </c>
      <c r="AN101" s="45">
        <f t="shared" si="1"/>
        <v>75.2</v>
      </c>
    </row>
    <row r="102" spans="1:40">
      <c r="B102" t="s">
        <v>10</v>
      </c>
      <c r="C102" s="4" t="s">
        <v>236</v>
      </c>
      <c r="M102">
        <v>75.2</v>
      </c>
      <c r="N102" s="1">
        <f>54.700854701*1.17</f>
        <v>64.00000000016999</v>
      </c>
      <c r="AN102" s="45">
        <f t="shared" si="1"/>
        <v>839.7</v>
      </c>
    </row>
    <row r="103" spans="1:40">
      <c r="B103" t="s">
        <v>10</v>
      </c>
      <c r="C103" s="4" t="s">
        <v>47</v>
      </c>
      <c r="J103">
        <v>77.099999999999994</v>
      </c>
      <c r="K103" s="1">
        <f>58.11965812*1.17</f>
        <v>68.000000000399993</v>
      </c>
      <c r="M103">
        <v>82.7</v>
      </c>
      <c r="N103" s="1">
        <f>54.700854701*1.17</f>
        <v>64.00000000016999</v>
      </c>
      <c r="P103">
        <v>151.6</v>
      </c>
      <c r="Q103" s="1">
        <f>58.11965812*1.17</f>
        <v>68.000000000399993</v>
      </c>
      <c r="AB103">
        <v>65</v>
      </c>
      <c r="AC103" s="1">
        <f>58.11965812*1.17</f>
        <v>68.000000000399993</v>
      </c>
      <c r="AE103">
        <v>159.30000000000001</v>
      </c>
      <c r="AF103" s="1">
        <f>58.11965812*1.17</f>
        <v>68.000000000399993</v>
      </c>
      <c r="AH103">
        <v>68.400000000000006</v>
      </c>
      <c r="AI103" s="1">
        <f>58.11965812*1.17</f>
        <v>68.000000000399993</v>
      </c>
      <c r="AK103">
        <v>312.7</v>
      </c>
      <c r="AL103" s="1">
        <f>58.11965812*1.17</f>
        <v>68.000000000399993</v>
      </c>
      <c r="AN103" s="45">
        <f t="shared" si="1"/>
        <v>0</v>
      </c>
    </row>
    <row r="104" spans="1:40">
      <c r="B104" t="s">
        <v>10</v>
      </c>
      <c r="C104" s="4" t="s">
        <v>94</v>
      </c>
      <c r="AN104" s="45">
        <f t="shared" si="1"/>
        <v>0</v>
      </c>
    </row>
    <row r="105" spans="1:40">
      <c r="B105" t="s">
        <v>10</v>
      </c>
      <c r="C105" s="4" t="s">
        <v>44</v>
      </c>
      <c r="AN105" s="45">
        <f t="shared" si="1"/>
        <v>78.3</v>
      </c>
    </row>
    <row r="106" spans="1:40">
      <c r="B106" t="s">
        <v>10</v>
      </c>
      <c r="C106" s="4" t="s">
        <v>124</v>
      </c>
      <c r="M106">
        <v>78.3</v>
      </c>
      <c r="N106" s="1">
        <f>52.991452991*1.17</f>
        <v>61.999999999469999</v>
      </c>
      <c r="AN106" s="45">
        <f t="shared" si="1"/>
        <v>1728.9</v>
      </c>
    </row>
    <row r="107" spans="1:40">
      <c r="B107" t="s">
        <v>10</v>
      </c>
      <c r="C107" s="4" t="s">
        <v>337</v>
      </c>
      <c r="D107">
        <v>79.2</v>
      </c>
      <c r="E107" s="1">
        <f>57.692307692*1.17</f>
        <v>67.499999999639996</v>
      </c>
      <c r="G107">
        <f>80.6+81.1</f>
        <v>161.69999999999999</v>
      </c>
      <c r="H107" s="1" t="s">
        <v>334</v>
      </c>
      <c r="J107">
        <v>161.80000000000001</v>
      </c>
      <c r="K107" s="1">
        <f>57.692307692*1.17</f>
        <v>67.499999999639996</v>
      </c>
      <c r="P107">
        <v>156.1</v>
      </c>
      <c r="Q107" s="1">
        <f>52.991452991*1.17</f>
        <v>61.999999999469999</v>
      </c>
      <c r="V107" s="23">
        <v>316.3</v>
      </c>
      <c r="W107" s="1">
        <f>52.991452991*1.17</f>
        <v>61.999999999469999</v>
      </c>
      <c r="Y107">
        <v>153.1</v>
      </c>
      <c r="Z107" s="1">
        <f>52.991452991*1.17</f>
        <v>61.999999999469999</v>
      </c>
      <c r="AB107">
        <v>289.5</v>
      </c>
      <c r="AC107" s="1">
        <f>52.991452991*1.17</f>
        <v>61.999999999469999</v>
      </c>
      <c r="AE107">
        <v>147.80000000000001</v>
      </c>
      <c r="AF107" s="1">
        <f>52.991452991*1.17</f>
        <v>61.999999999469999</v>
      </c>
      <c r="AH107">
        <v>124.9</v>
      </c>
      <c r="AI107" s="1">
        <f>52.991452991*1.17</f>
        <v>61.999999999469999</v>
      </c>
      <c r="AK107">
        <v>300.3</v>
      </c>
      <c r="AL107" s="1">
        <f>52.991452991*1.17</f>
        <v>61.999999999469999</v>
      </c>
      <c r="AN107" s="45">
        <f t="shared" si="1"/>
        <v>0</v>
      </c>
    </row>
    <row r="108" spans="1:40">
      <c r="B108" t="s">
        <v>10</v>
      </c>
      <c r="C108" s="4" t="s">
        <v>89</v>
      </c>
      <c r="AN108" s="45">
        <f t="shared" si="1"/>
        <v>0</v>
      </c>
    </row>
    <row r="109" spans="1:40">
      <c r="B109" t="s">
        <v>10</v>
      </c>
      <c r="C109" s="4" t="s">
        <v>98</v>
      </c>
      <c r="AN109" s="45">
        <f t="shared" si="1"/>
        <v>230.8</v>
      </c>
    </row>
    <row r="110" spans="1:40">
      <c r="B110" t="s">
        <v>117</v>
      </c>
      <c r="C110" s="4" t="s">
        <v>118</v>
      </c>
      <c r="J110">
        <v>80.8</v>
      </c>
      <c r="K110" s="1">
        <f>54.700854701*1.17</f>
        <v>64.00000000016999</v>
      </c>
      <c r="M110">
        <v>79.099999999999994</v>
      </c>
      <c r="N110" s="1">
        <f>54.700854701*1.17</f>
        <v>64.00000000016999</v>
      </c>
      <c r="AE110">
        <v>78.7</v>
      </c>
      <c r="AF110" s="1">
        <f>54.700854701*1.17</f>
        <v>64.00000000016999</v>
      </c>
      <c r="AH110">
        <v>73</v>
      </c>
      <c r="AI110" s="1">
        <f>54.700854701*1.17</f>
        <v>64.00000000016999</v>
      </c>
      <c r="AN110" s="45">
        <f t="shared" si="1"/>
        <v>0</v>
      </c>
    </row>
    <row r="111" spans="1:40">
      <c r="B111" t="s">
        <v>320</v>
      </c>
      <c r="C111" s="4" t="s">
        <v>95</v>
      </c>
      <c r="AN111" s="45">
        <f t="shared" si="1"/>
        <v>0</v>
      </c>
    </row>
    <row r="112" spans="1:40">
      <c r="B112" t="s">
        <v>10</v>
      </c>
      <c r="C112" s="4" t="s">
        <v>153</v>
      </c>
      <c r="AN112" s="45">
        <f t="shared" si="1"/>
        <v>0</v>
      </c>
    </row>
    <row r="113" spans="1:40">
      <c r="B113" t="s">
        <v>10</v>
      </c>
      <c r="C113" s="4" t="s">
        <v>91</v>
      </c>
      <c r="AN113" s="45">
        <f t="shared" si="1"/>
        <v>0</v>
      </c>
    </row>
    <row r="114" spans="1:40">
      <c r="B114" t="s">
        <v>10</v>
      </c>
      <c r="C114" s="4" t="s">
        <v>45</v>
      </c>
      <c r="AN114" s="45">
        <f t="shared" si="1"/>
        <v>0</v>
      </c>
    </row>
    <row r="115" spans="1:40">
      <c r="B115" t="s">
        <v>10</v>
      </c>
      <c r="C115" s="4" t="s">
        <v>97</v>
      </c>
      <c r="AN115" s="45">
        <f t="shared" si="1"/>
        <v>0</v>
      </c>
    </row>
    <row r="116" spans="1:40">
      <c r="B116" t="s">
        <v>10</v>
      </c>
      <c r="C116" s="4" t="s">
        <v>99</v>
      </c>
      <c r="AN116" s="45">
        <f t="shared" si="1"/>
        <v>0</v>
      </c>
    </row>
    <row r="117" spans="1:40">
      <c r="B117" t="s">
        <v>10</v>
      </c>
      <c r="C117" s="4" t="s">
        <v>96</v>
      </c>
      <c r="AN117" s="45">
        <f t="shared" si="1"/>
        <v>0</v>
      </c>
    </row>
    <row r="118" spans="1:40">
      <c r="B118" t="s">
        <v>10</v>
      </c>
      <c r="C118" s="4" t="s">
        <v>92</v>
      </c>
      <c r="AN118" s="45">
        <f t="shared" si="1"/>
        <v>0</v>
      </c>
    </row>
    <row r="119" spans="1:40" s="10" customFormat="1">
      <c r="B119" s="10" t="s">
        <v>117</v>
      </c>
      <c r="C119" s="11" t="s">
        <v>122</v>
      </c>
      <c r="E119" s="15"/>
      <c r="F119" s="11"/>
      <c r="H119" s="15"/>
      <c r="I119" s="11"/>
      <c r="K119" s="15"/>
      <c r="L119" s="11"/>
      <c r="N119" s="15"/>
      <c r="O119" s="11"/>
      <c r="Q119" s="29"/>
      <c r="R119" s="26"/>
      <c r="S119" s="45"/>
      <c r="T119" s="46"/>
      <c r="U119" s="47"/>
      <c r="V119" s="21"/>
      <c r="W119" s="15"/>
      <c r="X119" s="26"/>
      <c r="Z119" s="15"/>
      <c r="AA119" s="11"/>
      <c r="AC119" s="15"/>
      <c r="AD119" s="11"/>
      <c r="AF119" s="15"/>
      <c r="AG119" s="11"/>
      <c r="AI119" s="15"/>
      <c r="AJ119" s="11"/>
      <c r="AL119" s="15"/>
      <c r="AM119" s="11"/>
      <c r="AN119" s="45">
        <f t="shared" si="1"/>
        <v>0</v>
      </c>
    </row>
    <row r="120" spans="1:40">
      <c r="B120" t="s">
        <v>10</v>
      </c>
      <c r="C120" s="4" t="s">
        <v>93</v>
      </c>
      <c r="AN120" s="45">
        <f t="shared" si="1"/>
        <v>0</v>
      </c>
    </row>
    <row r="121" spans="1:40">
      <c r="B121" t="s">
        <v>117</v>
      </c>
      <c r="C121" s="4" t="s">
        <v>121</v>
      </c>
      <c r="AN121" s="45">
        <f t="shared" si="1"/>
        <v>0</v>
      </c>
    </row>
    <row r="122" spans="1:40">
      <c r="B122" t="s">
        <v>10</v>
      </c>
      <c r="C122" s="4" t="s">
        <v>90</v>
      </c>
      <c r="AN122" s="45">
        <f t="shared" si="1"/>
        <v>0</v>
      </c>
    </row>
    <row r="123" spans="1:40">
      <c r="B123" t="s">
        <v>10</v>
      </c>
      <c r="C123" s="4" t="s">
        <v>152</v>
      </c>
      <c r="AN123" s="45">
        <f t="shared" si="1"/>
        <v>0</v>
      </c>
    </row>
    <row r="124" spans="1:40">
      <c r="B124" t="s">
        <v>10</v>
      </c>
      <c r="C124" s="4" t="s">
        <v>88</v>
      </c>
      <c r="AN124" s="45">
        <f t="shared" si="1"/>
        <v>0</v>
      </c>
    </row>
    <row r="125" spans="1:40">
      <c r="B125" t="s">
        <v>10</v>
      </c>
      <c r="C125" s="4" t="s">
        <v>125</v>
      </c>
      <c r="AN125" s="45">
        <f t="shared" si="1"/>
        <v>0</v>
      </c>
    </row>
    <row r="126" spans="1:40">
      <c r="D126" s="1"/>
      <c r="I126" s="4">
        <f>SUM(I97:I125)</f>
        <v>0</v>
      </c>
      <c r="M126" s="4"/>
      <c r="N126" s="18"/>
      <c r="P126" s="4"/>
      <c r="Q126" s="33"/>
      <c r="AN126" s="45">
        <f t="shared" si="1"/>
        <v>35.6</v>
      </c>
    </row>
    <row r="127" spans="1:40" ht="16.8" customHeight="1">
      <c r="A127" s="10" t="s">
        <v>12</v>
      </c>
      <c r="B127" s="10" t="s">
        <v>13</v>
      </c>
      <c r="C127" s="11" t="s">
        <v>356</v>
      </c>
      <c r="P127">
        <v>35.6</v>
      </c>
      <c r="Q127" s="31">
        <f>49.572649573*1.17</f>
        <v>58.000000000409997</v>
      </c>
      <c r="AN127" s="45">
        <f t="shared" si="1"/>
        <v>1622</v>
      </c>
    </row>
    <row r="128" spans="1:40" s="13" customFormat="1">
      <c r="A128" s="10"/>
      <c r="B128" s="10" t="s">
        <v>13</v>
      </c>
      <c r="C128" s="11" t="s">
        <v>252</v>
      </c>
      <c r="D128" s="13">
        <v>38.700000000000003</v>
      </c>
      <c r="E128" s="16">
        <f>44.44444444*1.17</f>
        <v>51.999999994799992</v>
      </c>
      <c r="F128" s="4"/>
      <c r="H128" s="16"/>
      <c r="I128" s="4"/>
      <c r="J128" s="13">
        <v>232.2</v>
      </c>
      <c r="K128" s="16">
        <f>44.44444444*1.17</f>
        <v>51.999999994799992</v>
      </c>
      <c r="L128" s="4"/>
      <c r="M128" s="13">
        <v>503.1</v>
      </c>
      <c r="N128" s="16">
        <f>44.44444444*1.17</f>
        <v>51.999999994799992</v>
      </c>
      <c r="O128" s="4"/>
      <c r="P128" s="13">
        <v>193.5</v>
      </c>
      <c r="Q128" s="16">
        <f>44.44444444*1.17</f>
        <v>51.999999994799992</v>
      </c>
      <c r="R128" s="25"/>
      <c r="S128" s="48">
        <v>540.1</v>
      </c>
      <c r="T128" s="16">
        <f>44.44444444*1.17</f>
        <v>51.999999994799992</v>
      </c>
      <c r="U128" s="44"/>
      <c r="V128" s="22">
        <v>116.1</v>
      </c>
      <c r="W128" s="16">
        <f>44.44444444*1.17</f>
        <v>51.999999994799992</v>
      </c>
      <c r="X128" s="25"/>
      <c r="Y128" s="13">
        <v>230.5</v>
      </c>
      <c r="Z128" s="16">
        <f>44.44444444*1.17</f>
        <v>51.999999994799992</v>
      </c>
      <c r="AA128" s="4"/>
      <c r="AC128" s="16"/>
      <c r="AD128" s="4"/>
      <c r="AF128" s="16"/>
      <c r="AG128" s="4"/>
      <c r="AI128" s="16"/>
      <c r="AJ128" s="4"/>
      <c r="AL128" s="16"/>
      <c r="AM128" s="4"/>
      <c r="AN128" s="45">
        <f t="shared" si="1"/>
        <v>960</v>
      </c>
    </row>
    <row r="129" spans="1:40" s="13" customFormat="1">
      <c r="C129" s="11" t="s">
        <v>333</v>
      </c>
      <c r="D129" s="13">
        <v>480</v>
      </c>
      <c r="E129" s="16">
        <f>44.44444444*1.17</f>
        <v>51.999999994799992</v>
      </c>
      <c r="F129" s="4"/>
      <c r="G129" s="13">
        <v>480</v>
      </c>
      <c r="H129" s="16">
        <f>44.44444444*1.17</f>
        <v>51.999999994799992</v>
      </c>
      <c r="I129" s="4"/>
      <c r="J129" s="13">
        <v>384</v>
      </c>
      <c r="K129" s="16">
        <f>44.44444444*1.17</f>
        <v>51.999999994799992</v>
      </c>
      <c r="L129" s="4"/>
      <c r="N129" s="16"/>
      <c r="O129" s="4"/>
      <c r="Q129" s="30"/>
      <c r="R129" s="25"/>
      <c r="S129" s="48"/>
      <c r="T129" s="49"/>
      <c r="U129" s="44"/>
      <c r="V129" s="22"/>
      <c r="W129" s="16"/>
      <c r="X129" s="25"/>
      <c r="Z129" s="16"/>
      <c r="AA129" s="4"/>
      <c r="AC129" s="16"/>
      <c r="AD129" s="4"/>
      <c r="AF129" s="16"/>
      <c r="AG129" s="4"/>
      <c r="AI129" s="16"/>
      <c r="AJ129" s="4"/>
      <c r="AL129" s="16"/>
      <c r="AM129" s="4"/>
      <c r="AN129" s="45">
        <f t="shared" si="1"/>
        <v>0</v>
      </c>
    </row>
    <row r="130" spans="1:40">
      <c r="C130" s="4" t="s">
        <v>32</v>
      </c>
      <c r="AN130" s="45">
        <f t="shared" si="1"/>
        <v>0</v>
      </c>
    </row>
    <row r="131" spans="1:40">
      <c r="C131" s="4" t="s">
        <v>174</v>
      </c>
      <c r="AN131" s="45">
        <f t="shared" si="1"/>
        <v>0</v>
      </c>
    </row>
    <row r="132" spans="1:40" s="10" customFormat="1">
      <c r="C132" s="11" t="s">
        <v>14</v>
      </c>
      <c r="E132" s="15"/>
      <c r="F132" s="11"/>
      <c r="H132" s="15"/>
      <c r="I132" s="11"/>
      <c r="K132" s="15"/>
      <c r="L132" s="11"/>
      <c r="N132" s="15"/>
      <c r="O132" s="11"/>
      <c r="Q132" s="29"/>
      <c r="R132" s="26"/>
      <c r="S132" s="45"/>
      <c r="T132" s="46"/>
      <c r="U132" s="47"/>
      <c r="V132" s="21"/>
      <c r="W132" s="15"/>
      <c r="X132" s="26"/>
      <c r="Z132" s="15"/>
      <c r="AA132" s="11"/>
      <c r="AC132" s="15"/>
      <c r="AD132" s="11"/>
      <c r="AF132" s="15"/>
      <c r="AG132" s="11"/>
      <c r="AI132" s="15"/>
      <c r="AJ132" s="11"/>
      <c r="AL132" s="16"/>
      <c r="AM132" s="11"/>
      <c r="AN132" s="45">
        <f t="shared" ref="AN132:AN195" si="2">D133+G133+M133+P133+S133+V133+Y133+AB133+AE133+AH133+AK133</f>
        <v>0</v>
      </c>
    </row>
    <row r="133" spans="1:40">
      <c r="C133" s="4" t="s">
        <v>33</v>
      </c>
      <c r="AI133" s="16"/>
      <c r="AN133" s="45">
        <f t="shared" si="2"/>
        <v>0</v>
      </c>
    </row>
    <row r="134" spans="1:40">
      <c r="C134" s="4" t="s">
        <v>56</v>
      </c>
      <c r="AN134" s="45">
        <f t="shared" si="2"/>
        <v>0</v>
      </c>
    </row>
    <row r="135" spans="1:40">
      <c r="B135" t="s">
        <v>238</v>
      </c>
      <c r="C135" s="4" t="s">
        <v>239</v>
      </c>
      <c r="AN135" s="45">
        <f t="shared" si="2"/>
        <v>0</v>
      </c>
    </row>
    <row r="136" spans="1:40">
      <c r="D136" s="1"/>
      <c r="AN136" s="45">
        <f t="shared" si="2"/>
        <v>0</v>
      </c>
    </row>
    <row r="137" spans="1:40">
      <c r="AN137" s="45">
        <f t="shared" si="2"/>
        <v>0</v>
      </c>
    </row>
    <row r="138" spans="1:40" s="10" customFormat="1">
      <c r="A138" s="10" t="s">
        <v>15</v>
      </c>
      <c r="B138" s="10" t="s">
        <v>16</v>
      </c>
      <c r="C138" s="11" t="s">
        <v>17</v>
      </c>
      <c r="E138" s="15"/>
      <c r="F138" s="11"/>
      <c r="H138" s="15"/>
      <c r="I138" s="11"/>
      <c r="K138" s="15"/>
      <c r="L138" s="11"/>
      <c r="N138" s="15"/>
      <c r="O138" s="11"/>
      <c r="Q138" s="29"/>
      <c r="R138" s="26"/>
      <c r="S138" s="45"/>
      <c r="T138" s="46"/>
      <c r="U138" s="47"/>
      <c r="V138" s="21"/>
      <c r="W138" s="15"/>
      <c r="X138" s="26"/>
      <c r="Z138" s="15"/>
      <c r="AA138" s="11"/>
      <c r="AC138" s="15"/>
      <c r="AD138" s="11"/>
      <c r="AF138" s="15"/>
      <c r="AG138" s="11"/>
      <c r="AI138" s="15"/>
      <c r="AJ138" s="11"/>
      <c r="AL138" s="15"/>
      <c r="AM138" s="11"/>
      <c r="AN138" s="45">
        <f t="shared" si="2"/>
        <v>136.30000000000001</v>
      </c>
    </row>
    <row r="139" spans="1:40">
      <c r="B139" t="s">
        <v>16</v>
      </c>
      <c r="C139" s="4" t="s">
        <v>161</v>
      </c>
      <c r="D139">
        <v>136.30000000000001</v>
      </c>
      <c r="E139" s="1">
        <f>32.478632479*1.17</f>
        <v>38.000000000429992</v>
      </c>
      <c r="AN139" s="45">
        <f t="shared" si="2"/>
        <v>0</v>
      </c>
    </row>
    <row r="140" spans="1:40">
      <c r="B140" t="s">
        <v>16</v>
      </c>
      <c r="C140" s="4" t="s">
        <v>34</v>
      </c>
      <c r="AN140" s="45">
        <f t="shared" si="2"/>
        <v>0</v>
      </c>
    </row>
    <row r="141" spans="1:40">
      <c r="B141" t="s">
        <v>16</v>
      </c>
      <c r="C141" s="4" t="s">
        <v>19</v>
      </c>
      <c r="J141" s="8"/>
      <c r="K141" s="14"/>
      <c r="L141" s="12"/>
      <c r="AN141" s="45">
        <f t="shared" si="2"/>
        <v>162</v>
      </c>
    </row>
    <row r="142" spans="1:40">
      <c r="B142" t="s">
        <v>16</v>
      </c>
      <c r="C142" s="4" t="s">
        <v>105</v>
      </c>
      <c r="D142">
        <v>162</v>
      </c>
      <c r="E142" s="1">
        <f>30.769230769*1.17</f>
        <v>35.999999999730001</v>
      </c>
      <c r="J142">
        <v>320.7</v>
      </c>
      <c r="K142" s="1">
        <f>30.769230769*1.17</f>
        <v>35.999999999730001</v>
      </c>
      <c r="AH142" s="8"/>
      <c r="AK142" s="8"/>
      <c r="AN142" s="45">
        <f t="shared" si="2"/>
        <v>79.900000000000006</v>
      </c>
    </row>
    <row r="143" spans="1:40">
      <c r="B143" t="s">
        <v>16</v>
      </c>
      <c r="C143" s="4" t="s">
        <v>282</v>
      </c>
      <c r="M143">
        <v>40.5</v>
      </c>
      <c r="N143" s="1">
        <f>30.769230769*1.17</f>
        <v>35.999999999730001</v>
      </c>
      <c r="AE143">
        <v>39.4</v>
      </c>
      <c r="AF143" s="1">
        <f>29.914529915*1.17</f>
        <v>35.000000000549996</v>
      </c>
      <c r="AN143" s="45">
        <f t="shared" si="2"/>
        <v>0</v>
      </c>
    </row>
    <row r="144" spans="1:40">
      <c r="B144" t="s">
        <v>16</v>
      </c>
      <c r="C144" s="4" t="s">
        <v>86</v>
      </c>
      <c r="AN144" s="45">
        <f t="shared" si="2"/>
        <v>0</v>
      </c>
    </row>
    <row r="145" spans="1:40">
      <c r="B145" t="s">
        <v>16</v>
      </c>
      <c r="C145" s="4" t="s">
        <v>57</v>
      </c>
      <c r="AN145" s="45">
        <f t="shared" si="2"/>
        <v>0</v>
      </c>
    </row>
    <row r="146" spans="1:40">
      <c r="B146" t="s">
        <v>20</v>
      </c>
      <c r="C146" s="4" t="s">
        <v>57</v>
      </c>
      <c r="AN146" s="45">
        <f t="shared" si="2"/>
        <v>0</v>
      </c>
    </row>
    <row r="147" spans="1:40">
      <c r="B147" t="s">
        <v>16</v>
      </c>
      <c r="C147" s="4" t="s">
        <v>85</v>
      </c>
      <c r="AN147" s="45">
        <f t="shared" si="2"/>
        <v>0</v>
      </c>
    </row>
    <row r="148" spans="1:40">
      <c r="B148" t="s">
        <v>20</v>
      </c>
      <c r="C148" s="4" t="s">
        <v>35</v>
      </c>
      <c r="AN148" s="45">
        <f t="shared" si="2"/>
        <v>1588.1</v>
      </c>
    </row>
    <row r="149" spans="1:40">
      <c r="B149" t="s">
        <v>16</v>
      </c>
      <c r="C149" s="4" t="s">
        <v>35</v>
      </c>
      <c r="D149">
        <v>160</v>
      </c>
      <c r="E149" s="1">
        <f>30.769230769*1.17</f>
        <v>35.999999999730001</v>
      </c>
      <c r="M149">
        <v>558.4</v>
      </c>
      <c r="N149" s="1">
        <f>29.914529915*1.17</f>
        <v>35.000000000549996</v>
      </c>
      <c r="AE149">
        <v>479.1</v>
      </c>
      <c r="AF149" s="1">
        <f>29.914529915*1.17</f>
        <v>35.000000000549996</v>
      </c>
      <c r="AK149">
        <v>390.6</v>
      </c>
      <c r="AL149" s="1">
        <f>28.205128205*1.17</f>
        <v>32.999999999849997</v>
      </c>
      <c r="AN149" s="45">
        <f t="shared" si="2"/>
        <v>0</v>
      </c>
    </row>
    <row r="150" spans="1:40">
      <c r="B150" t="s">
        <v>20</v>
      </c>
      <c r="C150" s="4" t="s">
        <v>104</v>
      </c>
      <c r="AN150" s="45">
        <f t="shared" si="2"/>
        <v>308.7</v>
      </c>
    </row>
    <row r="151" spans="1:40">
      <c r="B151" t="s">
        <v>16</v>
      </c>
      <c r="C151" s="4" t="s">
        <v>104</v>
      </c>
      <c r="Y151">
        <v>308.7</v>
      </c>
      <c r="Z151" s="1">
        <f>29.05982906*1.17</f>
        <v>34.000000000199996</v>
      </c>
      <c r="AN151" s="45">
        <f t="shared" si="2"/>
        <v>0</v>
      </c>
    </row>
    <row r="152" spans="1:40">
      <c r="B152" t="s">
        <v>16</v>
      </c>
      <c r="C152" s="4" t="s">
        <v>186</v>
      </c>
      <c r="AN152" s="45">
        <f t="shared" si="2"/>
        <v>0</v>
      </c>
    </row>
    <row r="153" spans="1:40">
      <c r="B153" t="s">
        <v>16</v>
      </c>
      <c r="C153" s="4" t="s">
        <v>18</v>
      </c>
      <c r="AN153" s="45">
        <f t="shared" si="2"/>
        <v>0</v>
      </c>
    </row>
    <row r="154" spans="1:40">
      <c r="B154" t="s">
        <v>16</v>
      </c>
      <c r="C154" s="4" t="s">
        <v>229</v>
      </c>
      <c r="F154" s="4">
        <f>D154*E154</f>
        <v>0</v>
      </c>
      <c r="AN154" s="45">
        <f t="shared" si="2"/>
        <v>0</v>
      </c>
    </row>
    <row r="155" spans="1:40">
      <c r="B155" t="s">
        <v>20</v>
      </c>
      <c r="C155" s="4" t="s">
        <v>21</v>
      </c>
      <c r="AN155" s="45">
        <f t="shared" si="2"/>
        <v>0</v>
      </c>
    </row>
    <row r="156" spans="1:40">
      <c r="B156" t="s">
        <v>20</v>
      </c>
      <c r="C156" s="4" t="s">
        <v>58</v>
      </c>
      <c r="AN156" s="45">
        <f t="shared" si="2"/>
        <v>0</v>
      </c>
    </row>
    <row r="157" spans="1:40">
      <c r="B157" t="s">
        <v>16</v>
      </c>
      <c r="C157" s="4" t="s">
        <v>270</v>
      </c>
      <c r="F157" s="4">
        <f>D157*E157</f>
        <v>0</v>
      </c>
      <c r="V157" s="23">
        <v>0</v>
      </c>
      <c r="AN157" s="45">
        <f t="shared" si="2"/>
        <v>0</v>
      </c>
    </row>
    <row r="158" spans="1:40" s="5" customFormat="1">
      <c r="C158" s="7"/>
      <c r="D158" s="6"/>
      <c r="E158" s="17"/>
      <c r="F158" s="7"/>
      <c r="H158" s="17"/>
      <c r="I158" s="7"/>
      <c r="K158" s="17"/>
      <c r="L158" s="7"/>
      <c r="N158" s="17"/>
      <c r="O158" s="7"/>
      <c r="Q158" s="32"/>
      <c r="R158" s="9"/>
      <c r="S158" s="52"/>
      <c r="T158" s="53"/>
      <c r="U158" s="54"/>
      <c r="V158" s="24"/>
      <c r="W158" s="17"/>
      <c r="X158" s="9"/>
      <c r="Z158" s="17"/>
      <c r="AA158" s="7"/>
      <c r="AC158" s="17"/>
      <c r="AD158" s="7"/>
      <c r="AF158" s="17"/>
      <c r="AG158" s="7"/>
      <c r="AI158" s="17"/>
      <c r="AJ158" s="7"/>
      <c r="AL158" s="17"/>
      <c r="AM158" s="7"/>
      <c r="AN158" s="45">
        <f t="shared" si="2"/>
        <v>0</v>
      </c>
    </row>
    <row r="159" spans="1:40">
      <c r="F159" s="4">
        <f>SUM(F154:F158)</f>
        <v>0</v>
      </c>
      <c r="AN159" s="45">
        <f t="shared" si="2"/>
        <v>0</v>
      </c>
    </row>
    <row r="160" spans="1:40" s="10" customFormat="1">
      <c r="A160" s="10" t="s">
        <v>22</v>
      </c>
      <c r="B160" s="10" t="s">
        <v>23</v>
      </c>
      <c r="C160" s="11" t="s">
        <v>348</v>
      </c>
      <c r="E160" s="15"/>
      <c r="F160" s="11"/>
      <c r="H160" s="15"/>
      <c r="I160" s="11"/>
      <c r="K160" s="15"/>
      <c r="L160" s="11"/>
      <c r="N160" s="15"/>
      <c r="O160" s="11"/>
      <c r="Q160" s="29"/>
      <c r="R160" s="26"/>
      <c r="S160" s="45"/>
      <c r="T160" s="46"/>
      <c r="U160" s="47"/>
      <c r="V160" s="21"/>
      <c r="W160" s="15"/>
      <c r="X160" s="26"/>
      <c r="Z160" s="15"/>
      <c r="AA160" s="11"/>
      <c r="AC160" s="15"/>
      <c r="AD160" s="11"/>
      <c r="AF160" s="15"/>
      <c r="AG160" s="11"/>
      <c r="AI160" s="15"/>
      <c r="AJ160" s="11"/>
      <c r="AL160" s="15"/>
      <c r="AM160" s="11"/>
      <c r="AN160" s="45">
        <f t="shared" si="2"/>
        <v>0</v>
      </c>
    </row>
    <row r="161" spans="1:40">
      <c r="B161" t="s">
        <v>129</v>
      </c>
      <c r="C161" s="4" t="s">
        <v>348</v>
      </c>
      <c r="AN161" s="45">
        <f t="shared" si="2"/>
        <v>0</v>
      </c>
    </row>
    <row r="162" spans="1:40">
      <c r="B162" t="s">
        <v>53</v>
      </c>
      <c r="C162" s="4" t="s">
        <v>348</v>
      </c>
      <c r="F162" s="4">
        <f>D162*E162</f>
        <v>0</v>
      </c>
      <c r="AI162" s="51"/>
      <c r="AN162" s="45">
        <f t="shared" si="2"/>
        <v>0</v>
      </c>
    </row>
    <row r="163" spans="1:40">
      <c r="B163" t="s">
        <v>53</v>
      </c>
      <c r="C163" s="4" t="s">
        <v>347</v>
      </c>
      <c r="AN163" s="45">
        <f t="shared" si="2"/>
        <v>0</v>
      </c>
    </row>
    <row r="164" spans="1:40">
      <c r="B164" t="s">
        <v>53</v>
      </c>
      <c r="C164" s="4" t="s">
        <v>346</v>
      </c>
      <c r="AN164" s="45">
        <f t="shared" si="2"/>
        <v>0</v>
      </c>
    </row>
    <row r="165" spans="1:40">
      <c r="B165" t="s">
        <v>53</v>
      </c>
      <c r="C165" s="4" t="s">
        <v>345</v>
      </c>
      <c r="AN165" s="45">
        <f t="shared" si="2"/>
        <v>0</v>
      </c>
    </row>
    <row r="166" spans="1:40">
      <c r="B166" t="s">
        <v>53</v>
      </c>
      <c r="C166" s="4" t="s">
        <v>344</v>
      </c>
      <c r="AN166" s="45">
        <f t="shared" si="2"/>
        <v>0</v>
      </c>
    </row>
    <row r="167" spans="1:40">
      <c r="B167" t="s">
        <v>53</v>
      </c>
      <c r="C167" s="4" t="s">
        <v>343</v>
      </c>
      <c r="AN167" s="45">
        <f t="shared" si="2"/>
        <v>0</v>
      </c>
    </row>
    <row r="168" spans="1:40">
      <c r="B168" t="s">
        <v>53</v>
      </c>
      <c r="C168" s="4" t="s">
        <v>342</v>
      </c>
      <c r="AN168" s="45">
        <f t="shared" si="2"/>
        <v>0</v>
      </c>
    </row>
    <row r="169" spans="1:40">
      <c r="B169" t="s">
        <v>53</v>
      </c>
      <c r="C169" s="4" t="s">
        <v>341</v>
      </c>
      <c r="AN169" s="45">
        <f t="shared" si="2"/>
        <v>0</v>
      </c>
    </row>
    <row r="170" spans="1:40">
      <c r="B170" t="s">
        <v>53</v>
      </c>
      <c r="C170" s="4" t="s">
        <v>338</v>
      </c>
      <c r="AN170" s="45">
        <f t="shared" si="2"/>
        <v>63.2</v>
      </c>
    </row>
    <row r="171" spans="1:40">
      <c r="B171" t="s">
        <v>53</v>
      </c>
      <c r="C171" s="4" t="s">
        <v>339</v>
      </c>
      <c r="M171">
        <v>63.2</v>
      </c>
      <c r="N171" s="1">
        <f>19.658119658*1.17</f>
        <v>22.999999999859998</v>
      </c>
      <c r="AN171" s="45">
        <f t="shared" si="2"/>
        <v>0</v>
      </c>
    </row>
    <row r="172" spans="1:40">
      <c r="B172" t="s">
        <v>79</v>
      </c>
      <c r="C172" s="4" t="s">
        <v>340</v>
      </c>
      <c r="AN172" s="45">
        <f t="shared" si="2"/>
        <v>0</v>
      </c>
    </row>
    <row r="173" spans="1:40">
      <c r="D173" s="1"/>
      <c r="AN173" s="45">
        <f t="shared" si="2"/>
        <v>0</v>
      </c>
    </row>
    <row r="174" spans="1:40">
      <c r="AN174" s="45">
        <f t="shared" si="2"/>
        <v>0</v>
      </c>
    </row>
    <row r="175" spans="1:40" s="10" customFormat="1">
      <c r="A175" s="10" t="s">
        <v>26</v>
      </c>
      <c r="B175" s="10" t="s">
        <v>27</v>
      </c>
      <c r="C175" s="11" t="s">
        <v>28</v>
      </c>
      <c r="E175" s="15"/>
      <c r="F175" s="11"/>
      <c r="H175" s="15"/>
      <c r="I175" s="11"/>
      <c r="K175" s="15"/>
      <c r="L175" s="11"/>
      <c r="N175" s="15"/>
      <c r="O175" s="11"/>
      <c r="Q175" s="29"/>
      <c r="R175" s="26"/>
      <c r="S175" s="45"/>
      <c r="T175" s="46"/>
      <c r="U175" s="47"/>
      <c r="V175" s="21"/>
      <c r="W175" s="15"/>
      <c r="X175" s="26"/>
      <c r="Z175" s="15"/>
      <c r="AA175" s="11"/>
      <c r="AC175" s="15"/>
      <c r="AD175" s="11"/>
      <c r="AF175" s="15"/>
      <c r="AG175" s="11"/>
      <c r="AI175" s="15"/>
      <c r="AJ175" s="11"/>
      <c r="AL175" s="15"/>
      <c r="AM175" s="11"/>
      <c r="AN175" s="45">
        <f t="shared" si="2"/>
        <v>0</v>
      </c>
    </row>
    <row r="176" spans="1:40" s="13" customFormat="1">
      <c r="B176" s="10" t="s">
        <v>27</v>
      </c>
      <c r="C176" s="4" t="s">
        <v>272</v>
      </c>
      <c r="E176" s="16"/>
      <c r="F176" s="4"/>
      <c r="H176" s="16"/>
      <c r="I176" s="4"/>
      <c r="K176" s="16"/>
      <c r="L176" s="4"/>
      <c r="N176" s="16"/>
      <c r="O176" s="4"/>
      <c r="Q176" s="30"/>
      <c r="R176" s="25"/>
      <c r="S176" s="48"/>
      <c r="T176" s="49"/>
      <c r="U176" s="44"/>
      <c r="V176" s="22"/>
      <c r="W176" s="16"/>
      <c r="X176" s="25"/>
      <c r="Z176" s="16"/>
      <c r="AA176" s="4"/>
      <c r="AC176" s="16"/>
      <c r="AD176" s="4"/>
      <c r="AF176" s="16"/>
      <c r="AG176" s="4"/>
      <c r="AI176" s="16"/>
      <c r="AJ176" s="4"/>
      <c r="AL176" s="16"/>
      <c r="AM176" s="4"/>
      <c r="AN176" s="45">
        <f t="shared" si="2"/>
        <v>0</v>
      </c>
    </row>
    <row r="177" spans="2:40">
      <c r="B177" t="s">
        <v>27</v>
      </c>
      <c r="C177" s="4" t="s">
        <v>29</v>
      </c>
      <c r="AN177" s="45">
        <f t="shared" si="2"/>
        <v>0</v>
      </c>
    </row>
    <row r="178" spans="2:40">
      <c r="B178" t="s">
        <v>27</v>
      </c>
      <c r="C178" s="4" t="s">
        <v>112</v>
      </c>
      <c r="AN178" s="45">
        <f t="shared" si="2"/>
        <v>0</v>
      </c>
    </row>
    <row r="179" spans="2:40">
      <c r="B179" t="s">
        <v>27</v>
      </c>
      <c r="C179" s="4" t="s">
        <v>30</v>
      </c>
      <c r="AN179" s="45">
        <f t="shared" si="2"/>
        <v>0</v>
      </c>
    </row>
    <row r="180" spans="2:40">
      <c r="B180" t="s">
        <v>27</v>
      </c>
      <c r="C180" s="4" t="s">
        <v>87</v>
      </c>
      <c r="AN180" s="45">
        <f t="shared" si="2"/>
        <v>162</v>
      </c>
    </row>
    <row r="181" spans="2:40">
      <c r="B181" t="s">
        <v>27</v>
      </c>
      <c r="C181" s="4" t="s">
        <v>40</v>
      </c>
      <c r="D181">
        <f>81.6+80.4</f>
        <v>162</v>
      </c>
      <c r="E181" s="1">
        <f>8.547008547*1.17</f>
        <v>9.9999999999900009</v>
      </c>
      <c r="AN181" s="45">
        <f t="shared" si="2"/>
        <v>0</v>
      </c>
    </row>
    <row r="182" spans="2:40">
      <c r="B182" t="s">
        <v>27</v>
      </c>
      <c r="C182" s="4" t="s">
        <v>31</v>
      </c>
      <c r="AN182" s="45">
        <f t="shared" si="2"/>
        <v>0</v>
      </c>
    </row>
    <row r="183" spans="2:40">
      <c r="B183" t="s">
        <v>27</v>
      </c>
      <c r="C183" s="4" t="s">
        <v>38</v>
      </c>
      <c r="J183">
        <v>320.7</v>
      </c>
      <c r="K183" s="1">
        <f>8.547008547*1.17</f>
        <v>9.9999999999900009</v>
      </c>
      <c r="AN183" s="45">
        <f t="shared" si="2"/>
        <v>0</v>
      </c>
    </row>
    <row r="184" spans="2:40">
      <c r="B184" t="s">
        <v>27</v>
      </c>
      <c r="C184" s="4" t="s">
        <v>83</v>
      </c>
      <c r="AN184" s="45">
        <f t="shared" si="2"/>
        <v>0</v>
      </c>
    </row>
    <row r="185" spans="2:40">
      <c r="B185" t="s">
        <v>27</v>
      </c>
      <c r="C185" s="4" t="s">
        <v>143</v>
      </c>
      <c r="AN185" s="45">
        <f t="shared" si="2"/>
        <v>0</v>
      </c>
    </row>
    <row r="186" spans="2:40">
      <c r="B186" t="s">
        <v>27</v>
      </c>
      <c r="C186" s="4" t="s">
        <v>81</v>
      </c>
      <c r="AN186" s="45">
        <f t="shared" si="2"/>
        <v>0</v>
      </c>
    </row>
    <row r="187" spans="2:40">
      <c r="B187" t="s">
        <v>27</v>
      </c>
      <c r="C187" s="4" t="s">
        <v>147</v>
      </c>
      <c r="AN187" s="45">
        <f t="shared" si="2"/>
        <v>0</v>
      </c>
    </row>
    <row r="188" spans="2:40">
      <c r="B188" t="s">
        <v>27</v>
      </c>
      <c r="C188" s="4" t="s">
        <v>139</v>
      </c>
      <c r="AE188" s="8"/>
      <c r="AN188" s="45">
        <f t="shared" si="2"/>
        <v>0</v>
      </c>
    </row>
    <row r="189" spans="2:40">
      <c r="B189" t="s">
        <v>27</v>
      </c>
      <c r="C189" s="4" t="s">
        <v>212</v>
      </c>
      <c r="AN189" s="45">
        <f t="shared" si="2"/>
        <v>0</v>
      </c>
    </row>
    <row r="190" spans="2:40">
      <c r="B190" t="s">
        <v>27</v>
      </c>
      <c r="C190" s="4" t="s">
        <v>39</v>
      </c>
      <c r="AN190" s="45">
        <f t="shared" si="2"/>
        <v>0</v>
      </c>
    </row>
    <row r="191" spans="2:40">
      <c r="B191" t="s">
        <v>27</v>
      </c>
      <c r="C191" s="4" t="s">
        <v>271</v>
      </c>
      <c r="AN191" s="45">
        <f t="shared" si="2"/>
        <v>0</v>
      </c>
    </row>
    <row r="192" spans="2:40">
      <c r="B192" t="s">
        <v>27</v>
      </c>
      <c r="C192" s="4" t="s">
        <v>140</v>
      </c>
      <c r="AN192" s="45">
        <f t="shared" si="2"/>
        <v>0</v>
      </c>
    </row>
    <row r="193" spans="1:40">
      <c r="B193" t="s">
        <v>27</v>
      </c>
      <c r="C193" s="4" t="s">
        <v>141</v>
      </c>
      <c r="AN193" s="45">
        <f t="shared" si="2"/>
        <v>0</v>
      </c>
    </row>
    <row r="194" spans="1:40">
      <c r="B194" t="s">
        <v>27</v>
      </c>
      <c r="C194" s="4" t="s">
        <v>259</v>
      </c>
      <c r="AN194" s="45">
        <f t="shared" si="2"/>
        <v>0</v>
      </c>
    </row>
    <row r="195" spans="1:40">
      <c r="B195" t="s">
        <v>27</v>
      </c>
      <c r="C195" s="4" t="s">
        <v>84</v>
      </c>
      <c r="AN195" s="45">
        <f t="shared" si="2"/>
        <v>0</v>
      </c>
    </row>
    <row r="196" spans="1:40">
      <c r="B196" t="s">
        <v>27</v>
      </c>
      <c r="C196" s="4" t="s">
        <v>142</v>
      </c>
      <c r="AN196" s="45">
        <f t="shared" ref="AN196:AN259" si="3">D197+G197+M197+P197+S197+V197+Y197+AB197+AE197+AH197+AK197</f>
        <v>0</v>
      </c>
    </row>
    <row r="197" spans="1:40">
      <c r="B197" t="s">
        <v>27</v>
      </c>
      <c r="C197" s="4" t="s">
        <v>144</v>
      </c>
      <c r="AN197" s="45">
        <f t="shared" si="3"/>
        <v>0</v>
      </c>
    </row>
    <row r="198" spans="1:40">
      <c r="B198" t="s">
        <v>27</v>
      </c>
      <c r="C198" s="4" t="s">
        <v>113</v>
      </c>
      <c r="AN198" s="45">
        <f t="shared" si="3"/>
        <v>0</v>
      </c>
    </row>
    <row r="199" spans="1:40">
      <c r="B199" t="s">
        <v>27</v>
      </c>
      <c r="C199" s="4" t="s">
        <v>61</v>
      </c>
      <c r="AN199" s="45">
        <f t="shared" si="3"/>
        <v>0</v>
      </c>
    </row>
    <row r="200" spans="1:40">
      <c r="B200" t="s">
        <v>258</v>
      </c>
      <c r="AN200" s="45">
        <f t="shared" si="3"/>
        <v>0</v>
      </c>
    </row>
    <row r="201" spans="1:40" s="5" customFormat="1">
      <c r="C201" s="7"/>
      <c r="D201" s="6"/>
      <c r="E201" s="17"/>
      <c r="F201" s="7"/>
      <c r="H201" s="17"/>
      <c r="I201" s="7"/>
      <c r="K201" s="17"/>
      <c r="L201" s="7"/>
      <c r="N201" s="17"/>
      <c r="O201" s="7"/>
      <c r="Q201" s="32"/>
      <c r="R201" s="9"/>
      <c r="S201" s="52"/>
      <c r="T201" s="53"/>
      <c r="U201" s="54"/>
      <c r="V201" s="24"/>
      <c r="W201" s="17"/>
      <c r="X201" s="9"/>
      <c r="Z201" s="17"/>
      <c r="AA201" s="7"/>
      <c r="AC201" s="17"/>
      <c r="AD201" s="7"/>
      <c r="AF201" s="17"/>
      <c r="AG201" s="7"/>
      <c r="AI201" s="17"/>
      <c r="AJ201" s="7"/>
      <c r="AL201" s="17"/>
      <c r="AM201" s="7"/>
      <c r="AN201" s="45">
        <f t="shared" si="3"/>
        <v>0</v>
      </c>
    </row>
    <row r="202" spans="1:40">
      <c r="AN202" s="45">
        <f t="shared" si="3"/>
        <v>0</v>
      </c>
    </row>
    <row r="203" spans="1:40" s="10" customFormat="1">
      <c r="A203" s="10" t="s">
        <v>36</v>
      </c>
      <c r="B203" s="10" t="s">
        <v>13</v>
      </c>
      <c r="C203" s="11" t="s">
        <v>37</v>
      </c>
      <c r="E203" s="15"/>
      <c r="F203" s="11"/>
      <c r="H203" s="15"/>
      <c r="I203" s="11"/>
      <c r="K203" s="15"/>
      <c r="L203" s="11"/>
      <c r="N203" s="15"/>
      <c r="O203" s="11"/>
      <c r="Q203" s="29"/>
      <c r="R203" s="26"/>
      <c r="S203" s="45"/>
      <c r="T203" s="46"/>
      <c r="U203" s="47"/>
      <c r="V203" s="21"/>
      <c r="W203" s="15"/>
      <c r="X203" s="26"/>
      <c r="Z203" s="15"/>
      <c r="AA203" s="11"/>
      <c r="AC203" s="15"/>
      <c r="AD203" s="11"/>
      <c r="AF203" s="15"/>
      <c r="AG203" s="11"/>
      <c r="AI203" s="15"/>
      <c r="AJ203" s="11"/>
      <c r="AL203" s="15"/>
      <c r="AM203" s="11"/>
      <c r="AN203" s="45">
        <f t="shared" si="3"/>
        <v>0</v>
      </c>
    </row>
    <row r="204" spans="1:40">
      <c r="C204" s="4" t="s">
        <v>55</v>
      </c>
      <c r="AN204" s="45">
        <f t="shared" si="3"/>
        <v>0</v>
      </c>
    </row>
    <row r="205" spans="1:40">
      <c r="C205" s="4" t="s">
        <v>60</v>
      </c>
      <c r="J205">
        <v>63.2</v>
      </c>
      <c r="K205" s="1">
        <f>18.803418803*1.17</f>
        <v>21.999999999509999</v>
      </c>
      <c r="AN205" s="45">
        <f t="shared" si="3"/>
        <v>0</v>
      </c>
    </row>
    <row r="206" spans="1:40">
      <c r="C206" s="4" t="s">
        <v>78</v>
      </c>
      <c r="AN206" s="45">
        <f t="shared" si="3"/>
        <v>0</v>
      </c>
    </row>
    <row r="207" spans="1:40">
      <c r="D207" s="1"/>
      <c r="AN207" s="45">
        <f t="shared" si="3"/>
        <v>35.6</v>
      </c>
    </row>
    <row r="208" spans="1:40">
      <c r="A208" s="13" t="s">
        <v>62</v>
      </c>
      <c r="B208" t="s">
        <v>63</v>
      </c>
      <c r="C208" s="4" t="s">
        <v>355</v>
      </c>
      <c r="D208" s="1"/>
      <c r="P208">
        <v>35.6</v>
      </c>
      <c r="Q208" s="1">
        <f>10.256419*1.17</f>
        <v>12.000010229999999</v>
      </c>
      <c r="AN208" s="45">
        <f t="shared" si="3"/>
        <v>0</v>
      </c>
    </row>
    <row r="209" spans="1:40">
      <c r="A209" s="13"/>
      <c r="B209" t="s">
        <v>63</v>
      </c>
      <c r="C209" s="4" t="s">
        <v>66</v>
      </c>
      <c r="AN209" s="45">
        <f t="shared" si="3"/>
        <v>0</v>
      </c>
    </row>
    <row r="210" spans="1:40">
      <c r="B210" t="s">
        <v>63</v>
      </c>
      <c r="C210" s="4" t="s">
        <v>65</v>
      </c>
      <c r="AN210" s="45">
        <f t="shared" si="3"/>
        <v>116.19</v>
      </c>
    </row>
    <row r="211" spans="1:40">
      <c r="B211" t="s">
        <v>63</v>
      </c>
      <c r="C211" s="4" t="s">
        <v>310</v>
      </c>
      <c r="P211">
        <v>77.400000000000006</v>
      </c>
      <c r="Q211" s="1">
        <f>9.401701*1.17</f>
        <v>10.999990169999998</v>
      </c>
      <c r="Y211">
        <v>38.79</v>
      </c>
      <c r="Z211" s="1">
        <f>9.401701*1.17</f>
        <v>10.999990169999998</v>
      </c>
      <c r="AN211" s="45">
        <f t="shared" si="3"/>
        <v>983.1</v>
      </c>
    </row>
    <row r="212" spans="1:40">
      <c r="B212" t="s">
        <v>63</v>
      </c>
      <c r="C212" s="4" t="s">
        <v>285</v>
      </c>
      <c r="D212">
        <v>480</v>
      </c>
      <c r="E212" s="1">
        <f>10.256419*1.17</f>
        <v>12.000010229999999</v>
      </c>
      <c r="J212">
        <f>288+232.2+480</f>
        <v>1000.2</v>
      </c>
      <c r="K212" s="1">
        <f>9.401701*1.17</f>
        <v>10.999990169999998</v>
      </c>
      <c r="P212">
        <v>503.1</v>
      </c>
      <c r="Q212" s="1">
        <f>9.401701*1.17</f>
        <v>10.999990169999998</v>
      </c>
      <c r="AN212" s="45">
        <f t="shared" si="3"/>
        <v>231.38</v>
      </c>
    </row>
    <row r="213" spans="1:40">
      <c r="B213" t="s">
        <v>63</v>
      </c>
      <c r="C213" s="4" t="s">
        <v>319</v>
      </c>
      <c r="P213">
        <v>116.1</v>
      </c>
      <c r="Q213" s="1">
        <f>9.401701*1.17</f>
        <v>10.999990169999998</v>
      </c>
      <c r="Y213">
        <f>37.79+77.49</f>
        <v>115.28</v>
      </c>
      <c r="Z213" s="1">
        <f>9.401701*1.17</f>
        <v>10.999990169999998</v>
      </c>
      <c r="AN213" s="45">
        <f t="shared" si="3"/>
        <v>38.700000000000003</v>
      </c>
    </row>
    <row r="214" spans="1:40">
      <c r="B214" t="s">
        <v>63</v>
      </c>
      <c r="C214" s="4" t="s">
        <v>284</v>
      </c>
      <c r="D214">
        <v>38.700000000000003</v>
      </c>
      <c r="E214" s="1">
        <f>10.256419*1.17</f>
        <v>12.000010229999999</v>
      </c>
      <c r="J214">
        <v>96</v>
      </c>
      <c r="K214" s="1">
        <f>9.401701*1.17</f>
        <v>10.999990169999998</v>
      </c>
      <c r="AN214" s="45">
        <f t="shared" si="3"/>
        <v>147.19999999999999</v>
      </c>
    </row>
    <row r="215" spans="1:40">
      <c r="B215" t="s">
        <v>63</v>
      </c>
      <c r="C215" s="4" t="s">
        <v>330</v>
      </c>
      <c r="D215" s="3">
        <v>147.19999999999999</v>
      </c>
      <c r="E215" s="1">
        <f>11.111141*1.17</f>
        <v>13.00003497</v>
      </c>
      <c r="AN215" s="45">
        <f t="shared" si="3"/>
        <v>0</v>
      </c>
    </row>
    <row r="216" spans="1:40">
      <c r="B216" t="s">
        <v>63</v>
      </c>
      <c r="C216" s="4" t="s">
        <v>128</v>
      </c>
      <c r="AN216" s="45">
        <f t="shared" si="3"/>
        <v>0</v>
      </c>
    </row>
    <row r="217" spans="1:40">
      <c r="B217" s="13" t="s">
        <v>63</v>
      </c>
      <c r="C217" s="4" t="s">
        <v>64</v>
      </c>
      <c r="D217" s="13"/>
      <c r="E217" s="16"/>
      <c r="G217" s="13"/>
      <c r="H217" s="16"/>
      <c r="J217" s="13"/>
      <c r="K217" s="16"/>
      <c r="M217" s="13"/>
      <c r="N217" s="16"/>
      <c r="P217" s="13"/>
      <c r="Q217" s="30"/>
      <c r="S217" s="48"/>
      <c r="T217" s="49"/>
      <c r="V217" s="22"/>
      <c r="W217" s="16"/>
      <c r="Y217" s="13"/>
      <c r="Z217" s="16"/>
      <c r="AB217" s="13"/>
      <c r="AC217" s="16"/>
      <c r="AE217" s="13"/>
      <c r="AF217" s="16"/>
      <c r="AH217" s="13"/>
      <c r="AI217" s="16"/>
      <c r="AK217" s="13"/>
      <c r="AL217" s="16"/>
      <c r="AN217" s="45">
        <f t="shared" si="3"/>
        <v>80.8</v>
      </c>
    </row>
    <row r="218" spans="1:40">
      <c r="B218" s="13" t="s">
        <v>63</v>
      </c>
      <c r="C218" s="4" t="s">
        <v>331</v>
      </c>
      <c r="D218" s="13">
        <v>80.8</v>
      </c>
      <c r="E218" s="1">
        <f>11.111141*1.17</f>
        <v>13.00003497</v>
      </c>
      <c r="G218" s="13"/>
      <c r="H218" s="16"/>
      <c r="J218" s="13"/>
      <c r="K218" s="16"/>
      <c r="M218" s="13"/>
      <c r="N218" s="16"/>
      <c r="P218" s="13"/>
      <c r="Q218" s="30"/>
      <c r="S218" s="48"/>
      <c r="T218" s="49"/>
      <c r="V218" s="22"/>
      <c r="W218" s="16"/>
      <c r="Y218" s="13"/>
      <c r="Z218" s="16"/>
      <c r="AB218" s="13"/>
      <c r="AC218" s="16"/>
      <c r="AE218" s="13"/>
      <c r="AF218" s="16"/>
      <c r="AH218" s="13"/>
      <c r="AI218" s="16"/>
      <c r="AK218" s="13"/>
      <c r="AL218" s="16"/>
      <c r="AN218" s="45">
        <f t="shared" si="3"/>
        <v>68.400000000000006</v>
      </c>
    </row>
    <row r="219" spans="1:40">
      <c r="A219" s="13"/>
      <c r="B219" t="s">
        <v>63</v>
      </c>
      <c r="C219" s="4" t="s">
        <v>328</v>
      </c>
      <c r="D219">
        <v>68.400000000000006</v>
      </c>
      <c r="E219" s="1">
        <f>8.547076*1.17</f>
        <v>10.00007892</v>
      </c>
      <c r="AN219" s="45">
        <f t="shared" si="3"/>
        <v>67.900000000000006</v>
      </c>
    </row>
    <row r="220" spans="1:40">
      <c r="B220" t="s">
        <v>63</v>
      </c>
      <c r="C220" s="4" t="s">
        <v>329</v>
      </c>
      <c r="D220">
        <v>67.900000000000006</v>
      </c>
      <c r="E220" s="1">
        <f>8.547076*1.17</f>
        <v>10.00007892</v>
      </c>
      <c r="AN220" s="45">
        <f t="shared" si="3"/>
        <v>0</v>
      </c>
    </row>
    <row r="221" spans="1:40">
      <c r="B221" t="s">
        <v>63</v>
      </c>
      <c r="C221" s="4" t="s">
        <v>324</v>
      </c>
      <c r="D221" s="3"/>
      <c r="AN221" s="45">
        <f t="shared" si="3"/>
        <v>0</v>
      </c>
    </row>
    <row r="222" spans="1:40">
      <c r="B222" t="s">
        <v>63</v>
      </c>
      <c r="C222" s="4" t="s">
        <v>160</v>
      </c>
      <c r="D222" s="3"/>
      <c r="AN222" s="45">
        <f t="shared" si="3"/>
        <v>241.3</v>
      </c>
    </row>
    <row r="223" spans="1:40">
      <c r="B223" t="s">
        <v>63</v>
      </c>
      <c r="C223" s="4" t="s">
        <v>318</v>
      </c>
      <c r="D223">
        <v>241.3</v>
      </c>
      <c r="E223" s="1">
        <f>6.837605*1.17</f>
        <v>7.9999978499999997</v>
      </c>
      <c r="AN223" s="45">
        <f t="shared" si="3"/>
        <v>404.1</v>
      </c>
    </row>
    <row r="224" spans="1:40" s="10" customFormat="1">
      <c r="A224"/>
      <c r="B224" s="10" t="s">
        <v>63</v>
      </c>
      <c r="C224" s="11" t="s">
        <v>309</v>
      </c>
      <c r="D224" s="10">
        <v>404.1</v>
      </c>
      <c r="E224" s="1">
        <f>6.837605*1.17</f>
        <v>7.9999978499999997</v>
      </c>
      <c r="F224" s="11"/>
      <c r="H224" s="15"/>
      <c r="I224" s="11"/>
      <c r="K224" s="15"/>
      <c r="L224" s="11"/>
      <c r="N224" s="15"/>
      <c r="O224" s="11"/>
      <c r="Q224" s="29"/>
      <c r="R224" s="26"/>
      <c r="S224" s="45"/>
      <c r="T224" s="46"/>
      <c r="U224" s="47"/>
      <c r="V224" s="21"/>
      <c r="W224" s="15"/>
      <c r="X224" s="26"/>
      <c r="Z224" s="15"/>
      <c r="AA224" s="11"/>
      <c r="AC224" s="15"/>
      <c r="AD224" s="11"/>
      <c r="AF224" s="15"/>
      <c r="AG224" s="11"/>
      <c r="AI224" s="15"/>
      <c r="AJ224" s="11"/>
      <c r="AL224" s="15"/>
      <c r="AM224" s="11"/>
      <c r="AN224" s="45">
        <f t="shared" si="3"/>
        <v>0</v>
      </c>
    </row>
    <row r="225" spans="1:40">
      <c r="B225" t="s">
        <v>63</v>
      </c>
      <c r="C225" s="4" t="s">
        <v>127</v>
      </c>
      <c r="AN225" s="45">
        <f t="shared" si="3"/>
        <v>0</v>
      </c>
    </row>
    <row r="226" spans="1:40">
      <c r="B226" t="s">
        <v>63</v>
      </c>
      <c r="C226" s="4" t="s">
        <v>82</v>
      </c>
      <c r="AN226" s="45">
        <f t="shared" si="3"/>
        <v>0</v>
      </c>
    </row>
    <row r="227" spans="1:40">
      <c r="A227" s="13"/>
      <c r="B227" s="13" t="s">
        <v>63</v>
      </c>
      <c r="C227" s="4" t="s">
        <v>68</v>
      </c>
      <c r="D227" s="13"/>
      <c r="E227" s="16"/>
      <c r="G227" s="13"/>
      <c r="H227" s="16"/>
      <c r="J227" s="13"/>
      <c r="K227" s="16"/>
      <c r="M227" s="13"/>
      <c r="N227" s="16"/>
      <c r="P227" s="13"/>
      <c r="Q227" s="30"/>
      <c r="S227" s="48"/>
      <c r="T227" s="49"/>
      <c r="V227" s="22"/>
      <c r="W227" s="16"/>
      <c r="Y227" s="13"/>
      <c r="Z227" s="16"/>
      <c r="AB227" s="13"/>
      <c r="AC227" s="16"/>
      <c r="AE227" s="13"/>
      <c r="AF227" s="16"/>
      <c r="AH227" s="13"/>
      <c r="AI227" s="16"/>
      <c r="AK227" s="13"/>
      <c r="AL227" s="16"/>
      <c r="AN227" s="45">
        <f t="shared" si="3"/>
        <v>0</v>
      </c>
    </row>
    <row r="228" spans="1:40">
      <c r="B228" t="s">
        <v>63</v>
      </c>
      <c r="C228" s="4" t="s">
        <v>67</v>
      </c>
      <c r="AN228" s="45">
        <f t="shared" si="3"/>
        <v>0</v>
      </c>
    </row>
    <row r="229" spans="1:40">
      <c r="AN229" s="45">
        <f t="shared" si="3"/>
        <v>0</v>
      </c>
    </row>
    <row r="230" spans="1:40">
      <c r="AN230" s="45">
        <f t="shared" si="3"/>
        <v>0</v>
      </c>
    </row>
    <row r="231" spans="1:40" s="10" customFormat="1">
      <c r="A231" s="10" t="s">
        <v>175</v>
      </c>
      <c r="B231" s="10" t="s">
        <v>176</v>
      </c>
      <c r="C231" s="11" t="s">
        <v>177</v>
      </c>
      <c r="E231" s="15"/>
      <c r="F231" s="11"/>
      <c r="H231" s="15"/>
      <c r="I231" s="11"/>
      <c r="K231" s="15"/>
      <c r="L231" s="11"/>
      <c r="N231" s="15"/>
      <c r="O231" s="11"/>
      <c r="Q231" s="29"/>
      <c r="R231" s="26"/>
      <c r="S231" s="45"/>
      <c r="T231" s="46"/>
      <c r="U231" s="47"/>
      <c r="V231" s="21"/>
      <c r="W231" s="15"/>
      <c r="X231" s="26"/>
      <c r="Z231" s="15"/>
      <c r="AA231" s="11"/>
      <c r="AC231" s="15"/>
      <c r="AD231" s="11"/>
      <c r="AF231" s="15"/>
      <c r="AG231" s="11"/>
      <c r="AI231" s="15"/>
      <c r="AJ231" s="11"/>
      <c r="AL231" s="15"/>
      <c r="AM231" s="11"/>
      <c r="AN231" s="45">
        <f t="shared" si="3"/>
        <v>85.6</v>
      </c>
    </row>
    <row r="232" spans="1:40" s="13" customFormat="1">
      <c r="B232" s="10" t="s">
        <v>363</v>
      </c>
      <c r="C232" s="4" t="s">
        <v>274</v>
      </c>
      <c r="E232" s="16"/>
      <c r="F232" s="4"/>
      <c r="H232" s="16"/>
      <c r="I232" s="4"/>
      <c r="K232" s="16"/>
      <c r="L232" s="4"/>
      <c r="M232" s="13">
        <v>42.8</v>
      </c>
      <c r="N232" s="16">
        <f>100.85470085*1.17</f>
        <v>117.99999999449999</v>
      </c>
      <c r="O232" s="4"/>
      <c r="Q232" s="30"/>
      <c r="R232" s="25"/>
      <c r="S232" s="48"/>
      <c r="T232" s="49"/>
      <c r="U232" s="44"/>
      <c r="V232" s="22"/>
      <c r="W232" s="16"/>
      <c r="X232" s="25"/>
      <c r="Z232" s="16"/>
      <c r="AA232" s="4"/>
      <c r="AC232" s="16"/>
      <c r="AD232" s="4"/>
      <c r="AE232" s="13">
        <v>42.8</v>
      </c>
      <c r="AF232" s="16">
        <f>100.85470085*1.17</f>
        <v>117.99999999449999</v>
      </c>
      <c r="AG232" s="4"/>
      <c r="AI232" s="16"/>
      <c r="AJ232" s="4"/>
      <c r="AL232" s="16"/>
      <c r="AM232" s="4"/>
      <c r="AN232" s="45">
        <f t="shared" si="3"/>
        <v>0</v>
      </c>
    </row>
    <row r="233" spans="1:40" s="13" customFormat="1">
      <c r="B233" s="10" t="s">
        <v>176</v>
      </c>
      <c r="C233" s="4" t="s">
        <v>322</v>
      </c>
      <c r="E233" s="16"/>
      <c r="F233" s="4"/>
      <c r="H233" s="16"/>
      <c r="I233" s="4"/>
      <c r="K233" s="16"/>
      <c r="L233" s="4"/>
      <c r="N233" s="16"/>
      <c r="O233" s="4"/>
      <c r="Q233" s="30"/>
      <c r="R233" s="25"/>
      <c r="S233" s="48"/>
      <c r="T233" s="49"/>
      <c r="U233" s="44"/>
      <c r="V233" s="22"/>
      <c r="W233" s="16"/>
      <c r="X233" s="25"/>
      <c r="Z233" s="16"/>
      <c r="AA233" s="4"/>
      <c r="AC233" s="16"/>
      <c r="AD233" s="4"/>
      <c r="AF233" s="16"/>
      <c r="AG233" s="4"/>
      <c r="AI233" s="16"/>
      <c r="AJ233" s="4"/>
      <c r="AL233" s="16"/>
      <c r="AM233" s="4"/>
      <c r="AN233" s="45">
        <f t="shared" si="3"/>
        <v>81.2</v>
      </c>
    </row>
    <row r="234" spans="1:40" s="13" customFormat="1">
      <c r="B234" s="8" t="s">
        <v>242</v>
      </c>
      <c r="C234" s="4" t="s">
        <v>332</v>
      </c>
      <c r="D234" s="13">
        <v>81.2</v>
      </c>
      <c r="E234" s="16">
        <f>38.461538462*1.17</f>
        <v>45.000000000539998</v>
      </c>
      <c r="F234" s="4"/>
      <c r="H234" s="16"/>
      <c r="I234" s="4"/>
      <c r="J234" s="13">
        <v>86</v>
      </c>
      <c r="K234" s="16">
        <f>38.461538462*1.17</f>
        <v>45.000000000539998</v>
      </c>
      <c r="L234" s="4"/>
      <c r="N234" s="16"/>
      <c r="O234" s="4"/>
      <c r="Q234" s="30"/>
      <c r="R234" s="25"/>
      <c r="S234" s="48"/>
      <c r="T234" s="49"/>
      <c r="U234" s="44"/>
      <c r="V234" s="22"/>
      <c r="W234" s="16"/>
      <c r="X234" s="25"/>
      <c r="Z234" s="16"/>
      <c r="AA234" s="4"/>
      <c r="AC234" s="16"/>
      <c r="AD234" s="4"/>
      <c r="AF234" s="16"/>
      <c r="AG234" s="4"/>
      <c r="AI234" s="16"/>
      <c r="AJ234" s="4"/>
      <c r="AL234" s="16"/>
      <c r="AM234" s="4"/>
      <c r="AN234" s="45">
        <f t="shared" si="3"/>
        <v>0</v>
      </c>
    </row>
    <row r="235" spans="1:40" s="13" customFormat="1">
      <c r="B235" s="8" t="s">
        <v>242</v>
      </c>
      <c r="C235" s="4" t="s">
        <v>290</v>
      </c>
      <c r="E235" s="16"/>
      <c r="F235" s="4"/>
      <c r="H235" s="16"/>
      <c r="I235" s="4"/>
      <c r="K235" s="16"/>
      <c r="L235" s="4"/>
      <c r="N235" s="16"/>
      <c r="O235" s="4"/>
      <c r="Q235" s="30"/>
      <c r="R235" s="25"/>
      <c r="S235" s="48"/>
      <c r="T235" s="49"/>
      <c r="U235" s="44"/>
      <c r="V235" s="22"/>
      <c r="W235" s="16"/>
      <c r="X235" s="25"/>
      <c r="Z235" s="16"/>
      <c r="AA235" s="4"/>
      <c r="AC235" s="16"/>
      <c r="AD235" s="4"/>
      <c r="AF235" s="16"/>
      <c r="AG235" s="4"/>
      <c r="AI235" s="16"/>
      <c r="AJ235" s="4"/>
      <c r="AL235" s="16"/>
      <c r="AM235" s="4"/>
      <c r="AN235" s="45">
        <f t="shared" si="3"/>
        <v>0</v>
      </c>
    </row>
    <row r="236" spans="1:40">
      <c r="B236" s="8" t="s">
        <v>242</v>
      </c>
      <c r="C236" s="4" t="s">
        <v>243</v>
      </c>
      <c r="AN236" s="45">
        <f t="shared" si="3"/>
        <v>0</v>
      </c>
    </row>
    <row r="237" spans="1:40">
      <c r="B237" s="8" t="s">
        <v>242</v>
      </c>
      <c r="C237" s="4" t="s">
        <v>307</v>
      </c>
      <c r="AN237" s="45">
        <f t="shared" si="3"/>
        <v>0</v>
      </c>
    </row>
    <row r="238" spans="1:40">
      <c r="B238" s="8" t="s">
        <v>242</v>
      </c>
      <c r="C238" s="4" t="s">
        <v>253</v>
      </c>
      <c r="AN238" s="45">
        <f t="shared" si="3"/>
        <v>18.8</v>
      </c>
    </row>
    <row r="239" spans="1:40">
      <c r="B239" s="8" t="s">
        <v>242</v>
      </c>
      <c r="C239" s="4" t="s">
        <v>359</v>
      </c>
      <c r="O239" s="13"/>
      <c r="V239" s="23">
        <v>18.8</v>
      </c>
      <c r="W239" s="1">
        <f>36.752136752*1.17</f>
        <v>42.999999999839993</v>
      </c>
      <c r="AN239" s="45">
        <f t="shared" si="3"/>
        <v>0</v>
      </c>
    </row>
    <row r="240" spans="1:40">
      <c r="B240" s="8" t="s">
        <v>304</v>
      </c>
      <c r="C240" s="4" t="s">
        <v>305</v>
      </c>
      <c r="O240" s="13"/>
      <c r="AN240" s="45">
        <f t="shared" si="3"/>
        <v>0</v>
      </c>
    </row>
    <row r="241" spans="1:40">
      <c r="B241" s="8" t="s">
        <v>304</v>
      </c>
      <c r="C241" s="4" t="s">
        <v>306</v>
      </c>
      <c r="O241" s="13"/>
      <c r="AN241" s="45">
        <f t="shared" si="3"/>
        <v>242.3</v>
      </c>
    </row>
    <row r="242" spans="1:40">
      <c r="B242" s="8" t="s">
        <v>304</v>
      </c>
      <c r="C242" s="4" t="s">
        <v>308</v>
      </c>
      <c r="O242" s="13"/>
      <c r="V242" s="23">
        <v>85.2</v>
      </c>
      <c r="W242" s="1">
        <f>36.752136752*1.17</f>
        <v>42.999999999839993</v>
      </c>
      <c r="AH242">
        <f>79+78.1</f>
        <v>157.1</v>
      </c>
      <c r="AI242" s="1">
        <f>36.752136752*1.17</f>
        <v>42.999999999839993</v>
      </c>
      <c r="AN242" s="45">
        <f t="shared" si="3"/>
        <v>0</v>
      </c>
    </row>
    <row r="243" spans="1:40">
      <c r="B243" s="8" t="s">
        <v>304</v>
      </c>
      <c r="C243" s="4" t="s">
        <v>312</v>
      </c>
      <c r="O243" s="13"/>
      <c r="AN243" s="45">
        <f t="shared" si="3"/>
        <v>0</v>
      </c>
    </row>
    <row r="244" spans="1:40">
      <c r="B244" s="8" t="s">
        <v>304</v>
      </c>
      <c r="C244" s="4" t="s">
        <v>313</v>
      </c>
      <c r="O244" s="13"/>
      <c r="AN244" s="45">
        <f t="shared" si="3"/>
        <v>0</v>
      </c>
    </row>
    <row r="245" spans="1:40">
      <c r="B245" s="8" t="s">
        <v>304</v>
      </c>
      <c r="C245" s="4" t="s">
        <v>360</v>
      </c>
      <c r="O245" s="13"/>
      <c r="AN245" s="45">
        <f t="shared" si="3"/>
        <v>19</v>
      </c>
    </row>
    <row r="246" spans="1:40">
      <c r="B246" s="8" t="s">
        <v>298</v>
      </c>
      <c r="C246" s="4" t="s">
        <v>300</v>
      </c>
      <c r="O246" s="13"/>
      <c r="V246" s="23">
        <v>19</v>
      </c>
      <c r="W246" s="1">
        <f>36.752136752*1.17</f>
        <v>42.999999999839993</v>
      </c>
      <c r="AN246" s="45">
        <f t="shared" si="3"/>
        <v>876.80000000000007</v>
      </c>
    </row>
    <row r="247" spans="1:40">
      <c r="B247" s="8" t="s">
        <v>314</v>
      </c>
      <c r="C247" s="4" t="s">
        <v>315</v>
      </c>
      <c r="D247">
        <v>80.400000000000006</v>
      </c>
      <c r="E247" s="1">
        <f>10.256410256*1.17</f>
        <v>11.99999999952</v>
      </c>
      <c r="O247" s="13"/>
      <c r="P247">
        <v>240.6</v>
      </c>
      <c r="Q247" s="31">
        <f>7.6923076923*1.17</f>
        <v>8.9999999999909992</v>
      </c>
      <c r="AB247">
        <v>158.1</v>
      </c>
      <c r="AC247" s="1">
        <f>7.6923076923*1.17</f>
        <v>8.9999999999909992</v>
      </c>
      <c r="AE247">
        <v>237.1</v>
      </c>
      <c r="AF247" s="1">
        <f>7.6923076923*1.17</f>
        <v>8.9999999999909992</v>
      </c>
      <c r="AK247">
        <v>160.6</v>
      </c>
      <c r="AL247" s="1">
        <f>7.6923076923*1.17</f>
        <v>8.9999999999909992</v>
      </c>
      <c r="AN247" s="45">
        <f t="shared" si="3"/>
        <v>0</v>
      </c>
    </row>
    <row r="248" spans="1:40">
      <c r="B248" s="8" t="s">
        <v>299</v>
      </c>
      <c r="C248" s="4" t="s">
        <v>301</v>
      </c>
      <c r="O248" s="13"/>
      <c r="AN248" s="45">
        <f t="shared" si="3"/>
        <v>1020</v>
      </c>
    </row>
    <row r="249" spans="1:40">
      <c r="B249" s="8" t="s">
        <v>316</v>
      </c>
      <c r="C249" s="4" t="s">
        <v>317</v>
      </c>
      <c r="D249">
        <v>79.599999999999994</v>
      </c>
      <c r="E249" s="1">
        <f>10.256410256*1.17</f>
        <v>11.99999999952</v>
      </c>
      <c r="O249" s="13"/>
      <c r="P249">
        <v>317.8</v>
      </c>
      <c r="Q249" s="31">
        <f>7.6923076923*1.17</f>
        <v>8.9999999999909992</v>
      </c>
      <c r="AB249">
        <v>150.6</v>
      </c>
      <c r="AC249" s="1">
        <f>7.6923076923*1.17</f>
        <v>8.9999999999909992</v>
      </c>
      <c r="AE249">
        <v>242</v>
      </c>
      <c r="AF249" s="1">
        <f>7.6923076923*1.17</f>
        <v>8.9999999999909992</v>
      </c>
      <c r="AK249">
        <v>230</v>
      </c>
      <c r="AL249" s="1">
        <f>7.6923076923*1.17</f>
        <v>8.9999999999909992</v>
      </c>
      <c r="AN249" s="45">
        <f t="shared" si="3"/>
        <v>0</v>
      </c>
    </row>
    <row r="250" spans="1:40">
      <c r="B250" s="8" t="s">
        <v>316</v>
      </c>
      <c r="C250" s="4" t="s">
        <v>323</v>
      </c>
      <c r="O250" s="13"/>
      <c r="AN250" s="45">
        <f t="shared" si="3"/>
        <v>0</v>
      </c>
    </row>
    <row r="251" spans="1:40">
      <c r="B251" s="8" t="s">
        <v>304</v>
      </c>
      <c r="C251" s="4" t="s">
        <v>311</v>
      </c>
      <c r="O251" s="13"/>
      <c r="AN251" s="45">
        <f t="shared" si="3"/>
        <v>0</v>
      </c>
    </row>
    <row r="252" spans="1:40" s="10" customFormat="1">
      <c r="A252" s="10" t="s">
        <v>178</v>
      </c>
      <c r="B252" s="10" t="s">
        <v>179</v>
      </c>
      <c r="C252" s="11" t="s">
        <v>180</v>
      </c>
      <c r="E252" s="15"/>
      <c r="F252" s="11"/>
      <c r="H252" s="15"/>
      <c r="I252" s="11"/>
      <c r="K252" s="15"/>
      <c r="L252" s="11"/>
      <c r="N252" s="15"/>
      <c r="O252" s="13"/>
      <c r="Q252" s="29"/>
      <c r="R252" s="26"/>
      <c r="S252" s="45"/>
      <c r="T252" s="46"/>
      <c r="U252" s="47"/>
      <c r="V252" s="21"/>
      <c r="W252" s="15"/>
      <c r="X252" s="26"/>
      <c r="Z252" s="15"/>
      <c r="AA252" s="11"/>
      <c r="AC252" s="15"/>
      <c r="AD252" s="11"/>
      <c r="AF252" s="15"/>
      <c r="AG252" s="11"/>
      <c r="AI252" s="15"/>
      <c r="AJ252" s="11"/>
      <c r="AL252" s="15"/>
      <c r="AM252" s="11"/>
      <c r="AN252" s="45">
        <f t="shared" si="3"/>
        <v>0</v>
      </c>
    </row>
    <row r="253" spans="1:40">
      <c r="B253" t="s">
        <v>179</v>
      </c>
      <c r="C253" s="4" t="s">
        <v>181</v>
      </c>
      <c r="O253" s="13"/>
      <c r="AN253" s="45">
        <f t="shared" si="3"/>
        <v>601.40000000000009</v>
      </c>
    </row>
    <row r="254" spans="1:40">
      <c r="B254" t="s">
        <v>179</v>
      </c>
      <c r="C254" s="4" t="s">
        <v>182</v>
      </c>
      <c r="O254" s="13"/>
      <c r="Y254">
        <f>68.1+27.2</f>
        <v>95.3</v>
      </c>
      <c r="Z254" s="1">
        <f>98.290598291*1.17</f>
        <v>115.00000000046998</v>
      </c>
      <c r="AB254">
        <v>89.4</v>
      </c>
      <c r="AC254" s="1">
        <f>98.290598291*1.17</f>
        <v>115.00000000046998</v>
      </c>
      <c r="AE254">
        <v>127.8</v>
      </c>
      <c r="AF254" s="1">
        <f>98.290598291*1.17</f>
        <v>115.00000000046998</v>
      </c>
      <c r="AH254">
        <v>132.6</v>
      </c>
      <c r="AI254" s="1">
        <f>98.290598291*1.17</f>
        <v>115.00000000046998</v>
      </c>
      <c r="AK254">
        <v>156.30000000000001</v>
      </c>
      <c r="AL254" s="1">
        <f>98.290598291*1.17</f>
        <v>115.00000000046998</v>
      </c>
      <c r="AN254" s="45">
        <f>D255+G255+M255+P255+S255+V255+Y255+AB255+AE255+AH255+AK255</f>
        <v>882.90000000000009</v>
      </c>
    </row>
    <row r="255" spans="1:40">
      <c r="B255" t="s">
        <v>179</v>
      </c>
      <c r="C255" s="4" t="s">
        <v>241</v>
      </c>
      <c r="D255">
        <v>69</v>
      </c>
      <c r="E255" s="1">
        <f>119.65811966*1.17</f>
        <v>140.00000000219998</v>
      </c>
      <c r="J255">
        <v>60.5</v>
      </c>
      <c r="K255" s="1">
        <f>81.196581197*1.17</f>
        <v>95.00000000048999</v>
      </c>
      <c r="P255">
        <v>84.3</v>
      </c>
      <c r="Q255" s="1">
        <f>81.196581197*1.17</f>
        <v>95.00000000048999</v>
      </c>
      <c r="S255" s="50">
        <v>74</v>
      </c>
      <c r="T255" s="1">
        <f>81.196581197*1.17</f>
        <v>95.00000000048999</v>
      </c>
      <c r="Y255">
        <f>137.6+57+8+106.9</f>
        <v>309.5</v>
      </c>
      <c r="Z255" s="1">
        <f>81.196581197*1.17</f>
        <v>95.00000000048999</v>
      </c>
      <c r="AE255">
        <v>105.7</v>
      </c>
      <c r="AF255" s="1">
        <f>81.196581197*1.17</f>
        <v>95.00000000048999</v>
      </c>
      <c r="AH255">
        <v>107.6</v>
      </c>
      <c r="AI255" s="1">
        <f>81.196581197*1.17</f>
        <v>95.00000000048999</v>
      </c>
      <c r="AK255">
        <v>132.80000000000001</v>
      </c>
      <c r="AL255" s="1">
        <f>81.196581197*1.17</f>
        <v>95.00000000048999</v>
      </c>
      <c r="AN255" s="45">
        <f>D256+G256+M256+P256+S256+V256+Y256+AB256+AE256+AH256+AK256</f>
        <v>96.100000000000009</v>
      </c>
    </row>
    <row r="256" spans="1:40">
      <c r="B256" t="s">
        <v>179</v>
      </c>
      <c r="C256" s="4" t="s">
        <v>357</v>
      </c>
      <c r="M256">
        <f>69.4+26.7</f>
        <v>96.100000000000009</v>
      </c>
      <c r="N256" s="1">
        <f>59.829059829*1.17</f>
        <v>69.999999999929997</v>
      </c>
      <c r="O256" s="13"/>
      <c r="AN256" s="45">
        <f t="shared" si="3"/>
        <v>0</v>
      </c>
    </row>
    <row r="257" spans="2:40">
      <c r="B257" t="s">
        <v>179</v>
      </c>
      <c r="C257" s="4" t="s">
        <v>185</v>
      </c>
      <c r="O257" s="13"/>
      <c r="AN257" s="45">
        <f t="shared" si="3"/>
        <v>0</v>
      </c>
    </row>
    <row r="258" spans="2:40">
      <c r="B258" t="s">
        <v>179</v>
      </c>
      <c r="C258" s="4" t="s">
        <v>240</v>
      </c>
      <c r="AN258" s="45">
        <f t="shared" si="3"/>
        <v>0</v>
      </c>
    </row>
    <row r="259" spans="2:40">
      <c r="B259" t="s">
        <v>179</v>
      </c>
      <c r="C259" s="4" t="s">
        <v>297</v>
      </c>
      <c r="AN259" s="45">
        <f t="shared" si="3"/>
        <v>0</v>
      </c>
    </row>
    <row r="260" spans="2:40">
      <c r="AN260" s="50">
        <f>SUM(AN3:AN259)</f>
        <v>26479.779999999995</v>
      </c>
    </row>
  </sheetData>
  <sortState ref="A208:AM223">
    <sortCondition descending="1" ref="C208:C223"/>
  </sortState>
  <mergeCells count="12">
    <mergeCell ref="AE1:AG1"/>
    <mergeCell ref="AH1:AJ1"/>
    <mergeCell ref="AK1:AM1"/>
    <mergeCell ref="D1:F1"/>
    <mergeCell ref="G1:I1"/>
    <mergeCell ref="J1:L1"/>
    <mergeCell ref="M1:O1"/>
    <mergeCell ref="P1:R1"/>
    <mergeCell ref="S1:U1"/>
    <mergeCell ref="V1:X1"/>
    <mergeCell ref="Y1:AA1"/>
    <mergeCell ref="AB1:A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219"/>
  <sheetViews>
    <sheetView tabSelected="1"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X31" sqref="X31"/>
    </sheetView>
  </sheetViews>
  <sheetFormatPr defaultRowHeight="14.4"/>
  <cols>
    <col min="1" max="1" width="11" style="67" bestFit="1" customWidth="1"/>
    <col min="2" max="2" width="18.109375" style="67" customWidth="1"/>
    <col min="3" max="3" width="16.5546875" style="68" customWidth="1"/>
    <col min="4" max="4" width="7.5546875" style="67" bestFit="1" customWidth="1"/>
    <col min="5" max="5" width="5.77734375" style="70" bestFit="1" customWidth="1"/>
    <col min="6" max="6" width="8.5546875" style="68" customWidth="1"/>
    <col min="7" max="7" width="5.109375" style="67" customWidth="1"/>
    <col min="8" max="8" width="5.109375" style="70" customWidth="1"/>
    <col min="9" max="9" width="5.109375" style="68" customWidth="1"/>
    <col min="10" max="10" width="5.109375" style="67" customWidth="1"/>
    <col min="11" max="11" width="5.109375" style="70" customWidth="1"/>
    <col min="12" max="12" width="5.109375" style="68" customWidth="1"/>
    <col min="13" max="13" width="5.109375" style="67" customWidth="1"/>
    <col min="14" max="14" width="5.109375" style="70" customWidth="1"/>
    <col min="15" max="15" width="5.109375" style="68" customWidth="1"/>
    <col min="16" max="16" width="5.109375" style="67" customWidth="1"/>
    <col min="17" max="17" width="5.109375" style="90" customWidth="1"/>
    <col min="18" max="18" width="5.109375" style="79" customWidth="1"/>
    <col min="19" max="19" width="5.109375" style="91" customWidth="1"/>
    <col min="20" max="20" width="5.109375" style="92" customWidth="1"/>
    <col min="21" max="21" width="5.109375" style="77" customWidth="1"/>
    <col min="22" max="22" width="5.109375" style="93" customWidth="1"/>
    <col min="23" max="23" width="5.109375" style="70" customWidth="1"/>
    <col min="24" max="24" width="5.109375" style="79" customWidth="1"/>
    <col min="25" max="25" width="5.109375" style="67" customWidth="1"/>
    <col min="26" max="26" width="5.109375" style="70" customWidth="1"/>
    <col min="27" max="27" width="5.109375" style="68" customWidth="1"/>
    <col min="28" max="28" width="5.109375" style="67" customWidth="1"/>
    <col min="29" max="29" width="5.109375" style="70" customWidth="1"/>
    <col min="30" max="30" width="5.109375" style="68" customWidth="1"/>
    <col min="31" max="31" width="5.109375" style="67" customWidth="1"/>
    <col min="32" max="32" width="5.109375" style="70" customWidth="1"/>
    <col min="33" max="33" width="5.109375" style="68" customWidth="1"/>
    <col min="34" max="34" width="5.109375" style="67" customWidth="1"/>
    <col min="35" max="35" width="5.109375" style="70" customWidth="1"/>
    <col min="36" max="36" width="5.109375" style="68" customWidth="1"/>
    <col min="37" max="37" width="5.109375" style="67" customWidth="1"/>
    <col min="38" max="38" width="5.109375" style="70" customWidth="1"/>
    <col min="39" max="39" width="5.109375" style="68" customWidth="1"/>
    <col min="40" max="40" width="9.77734375" style="67" customWidth="1"/>
    <col min="41" max="16384" width="8.88671875" style="67"/>
  </cols>
  <sheetData>
    <row r="1" spans="1:40">
      <c r="D1" s="127" t="s">
        <v>149</v>
      </c>
      <c r="E1" s="127"/>
      <c r="F1" s="127"/>
      <c r="G1" s="127" t="s">
        <v>162</v>
      </c>
      <c r="H1" s="127"/>
      <c r="I1" s="127"/>
      <c r="J1" s="127" t="s">
        <v>203</v>
      </c>
      <c r="K1" s="127"/>
      <c r="L1" s="128"/>
      <c r="M1" s="129" t="s">
        <v>204</v>
      </c>
      <c r="N1" s="127"/>
      <c r="O1" s="128"/>
      <c r="P1" s="129" t="s">
        <v>205</v>
      </c>
      <c r="Q1" s="127"/>
      <c r="R1" s="127"/>
      <c r="S1" s="130" t="s">
        <v>209</v>
      </c>
      <c r="T1" s="130"/>
      <c r="U1" s="130"/>
      <c r="V1" s="127" t="s">
        <v>210</v>
      </c>
      <c r="W1" s="127"/>
      <c r="X1" s="127"/>
      <c r="Y1" s="127" t="s">
        <v>211</v>
      </c>
      <c r="Z1" s="127"/>
      <c r="AA1" s="127"/>
      <c r="AB1" s="127" t="s">
        <v>232</v>
      </c>
      <c r="AC1" s="127"/>
      <c r="AD1" s="127"/>
      <c r="AE1" s="127" t="s">
        <v>246</v>
      </c>
      <c r="AF1" s="127"/>
      <c r="AG1" s="127"/>
      <c r="AH1" s="127" t="s">
        <v>254</v>
      </c>
      <c r="AI1" s="127"/>
      <c r="AJ1" s="127"/>
      <c r="AK1" s="127" t="s">
        <v>262</v>
      </c>
      <c r="AL1" s="127"/>
      <c r="AM1" s="127"/>
    </row>
    <row r="2" spans="1:40">
      <c r="D2" s="69" t="s">
        <v>5</v>
      </c>
      <c r="E2" s="70" t="s">
        <v>6</v>
      </c>
      <c r="F2" s="68" t="s">
        <v>7</v>
      </c>
      <c r="G2" s="67" t="s">
        <v>5</v>
      </c>
      <c r="H2" s="70" t="s">
        <v>6</v>
      </c>
      <c r="I2" s="68" t="s">
        <v>7</v>
      </c>
      <c r="J2" s="71" t="s">
        <v>5</v>
      </c>
      <c r="K2" s="72" t="s">
        <v>6</v>
      </c>
      <c r="L2" s="68" t="s">
        <v>7</v>
      </c>
      <c r="M2" s="71" t="s">
        <v>5</v>
      </c>
      <c r="N2" s="72" t="s">
        <v>6</v>
      </c>
      <c r="O2" s="68" t="s">
        <v>7</v>
      </c>
      <c r="P2" s="71" t="s">
        <v>5</v>
      </c>
      <c r="Q2" s="73" t="s">
        <v>6</v>
      </c>
      <c r="R2" s="74" t="s">
        <v>7</v>
      </c>
      <c r="S2" s="75" t="s">
        <v>5</v>
      </c>
      <c r="T2" s="76" t="s">
        <v>6</v>
      </c>
      <c r="U2" s="77" t="s">
        <v>7</v>
      </c>
      <c r="V2" s="78" t="s">
        <v>5</v>
      </c>
      <c r="W2" s="72" t="s">
        <v>6</v>
      </c>
      <c r="X2" s="79" t="s">
        <v>7</v>
      </c>
      <c r="Y2" s="71" t="s">
        <v>5</v>
      </c>
      <c r="Z2" s="72" t="s">
        <v>6</v>
      </c>
      <c r="AA2" s="68" t="s">
        <v>7</v>
      </c>
      <c r="AB2" s="67" t="s">
        <v>5</v>
      </c>
      <c r="AC2" s="70" t="s">
        <v>6</v>
      </c>
      <c r="AD2" s="68" t="s">
        <v>7</v>
      </c>
      <c r="AE2" s="71" t="s">
        <v>5</v>
      </c>
      <c r="AF2" s="72" t="s">
        <v>6</v>
      </c>
      <c r="AG2" s="68" t="s">
        <v>7</v>
      </c>
      <c r="AH2" s="71" t="s">
        <v>5</v>
      </c>
      <c r="AI2" s="72" t="s">
        <v>6</v>
      </c>
      <c r="AJ2" s="80" t="s">
        <v>7</v>
      </c>
      <c r="AK2" s="71" t="s">
        <v>5</v>
      </c>
      <c r="AL2" s="72" t="s">
        <v>6</v>
      </c>
      <c r="AM2" s="80" t="s">
        <v>7</v>
      </c>
    </row>
    <row r="3" spans="1:40" s="81" customFormat="1">
      <c r="A3" s="67" t="s">
        <v>0</v>
      </c>
      <c r="B3" s="81" t="s">
        <v>75</v>
      </c>
      <c r="C3" s="82" t="s">
        <v>76</v>
      </c>
      <c r="E3" s="83"/>
      <c r="F3" s="82"/>
      <c r="H3" s="83"/>
      <c r="I3" s="82"/>
      <c r="K3" s="83"/>
      <c r="L3" s="82"/>
      <c r="N3" s="83"/>
      <c r="O3" s="82"/>
      <c r="Q3" s="84"/>
      <c r="R3" s="85"/>
      <c r="S3" s="86"/>
      <c r="T3" s="87"/>
      <c r="U3" s="88"/>
      <c r="V3" s="89"/>
      <c r="W3" s="83"/>
      <c r="X3" s="85"/>
      <c r="Z3" s="83"/>
      <c r="AA3" s="82"/>
      <c r="AC3" s="83"/>
      <c r="AD3" s="82"/>
      <c r="AF3" s="83"/>
      <c r="AG3" s="82"/>
      <c r="AI3" s="83"/>
      <c r="AJ3" s="82"/>
      <c r="AL3" s="83"/>
      <c r="AM3" s="82"/>
      <c r="AN3" s="86">
        <f>D4+G4+M4+P4+S4+V4+Y4+AB4+AE4+AH4+AK4</f>
        <v>0</v>
      </c>
    </row>
    <row r="4" spans="1:40">
      <c r="B4" s="67" t="s">
        <v>352</v>
      </c>
      <c r="C4" s="68" t="s">
        <v>353</v>
      </c>
      <c r="AN4" s="86">
        <f t="shared" ref="AN4:AN70" si="0">D5+G5+M5+P5+S5+V5+Y5+AB5+AE5+AH5+AK5</f>
        <v>0</v>
      </c>
    </row>
    <row r="5" spans="1:40">
      <c r="B5" s="67" t="s">
        <v>352</v>
      </c>
      <c r="C5" s="68" t="s">
        <v>354</v>
      </c>
      <c r="AN5" s="86">
        <f t="shared" si="0"/>
        <v>0</v>
      </c>
    </row>
    <row r="6" spans="1:40" s="95" customFormat="1">
      <c r="A6" s="67"/>
      <c r="B6" s="67" t="s">
        <v>197</v>
      </c>
      <c r="C6" s="68" t="s">
        <v>224</v>
      </c>
      <c r="D6" s="94"/>
      <c r="E6" s="70"/>
      <c r="F6" s="68"/>
      <c r="G6" s="67"/>
      <c r="H6" s="70"/>
      <c r="I6" s="68"/>
      <c r="J6" s="67"/>
      <c r="K6" s="70"/>
      <c r="L6" s="68"/>
      <c r="M6" s="67"/>
      <c r="N6" s="70"/>
      <c r="O6" s="68"/>
      <c r="P6" s="67"/>
      <c r="Q6" s="90"/>
      <c r="R6" s="79"/>
      <c r="S6" s="91"/>
      <c r="T6" s="92"/>
      <c r="U6" s="77"/>
      <c r="V6" s="93"/>
      <c r="W6" s="70"/>
      <c r="X6" s="79"/>
      <c r="Y6" s="67"/>
      <c r="Z6" s="70"/>
      <c r="AA6" s="68"/>
      <c r="AB6" s="67"/>
      <c r="AC6" s="70"/>
      <c r="AD6" s="68"/>
      <c r="AE6" s="67"/>
      <c r="AF6" s="70"/>
      <c r="AG6" s="68"/>
      <c r="AH6" s="67"/>
      <c r="AI6" s="70"/>
      <c r="AJ6" s="68"/>
      <c r="AK6" s="67"/>
      <c r="AL6" s="70"/>
      <c r="AM6" s="68"/>
      <c r="AN6" s="86">
        <f t="shared" si="0"/>
        <v>0</v>
      </c>
    </row>
    <row r="7" spans="1:40">
      <c r="B7" s="67" t="s">
        <v>197</v>
      </c>
      <c r="C7" s="68" t="s">
        <v>198</v>
      </c>
      <c r="D7" s="94"/>
      <c r="AN7" s="86">
        <f t="shared" si="0"/>
        <v>0</v>
      </c>
    </row>
    <row r="8" spans="1:40">
      <c r="B8" s="67" t="s">
        <v>154</v>
      </c>
      <c r="C8" s="68" t="s">
        <v>218</v>
      </c>
      <c r="AN8" s="86">
        <f t="shared" si="0"/>
        <v>0</v>
      </c>
    </row>
    <row r="9" spans="1:40">
      <c r="B9" s="67" t="s">
        <v>154</v>
      </c>
      <c r="C9" s="68" t="s">
        <v>279</v>
      </c>
      <c r="AN9" s="86">
        <f t="shared" si="0"/>
        <v>192.60000000000002</v>
      </c>
    </row>
    <row r="10" spans="1:40">
      <c r="B10" s="67" t="s">
        <v>292</v>
      </c>
      <c r="C10" s="68" t="s">
        <v>131</v>
      </c>
      <c r="D10" s="67">
        <v>64.2</v>
      </c>
      <c r="E10" s="70">
        <v>65</v>
      </c>
      <c r="S10" s="91">
        <v>64.2</v>
      </c>
      <c r="T10" s="92">
        <v>62</v>
      </c>
      <c r="V10" s="93">
        <v>64.2</v>
      </c>
      <c r="W10" s="70">
        <v>62</v>
      </c>
      <c r="AN10" s="86">
        <f t="shared" si="0"/>
        <v>128.4</v>
      </c>
    </row>
    <row r="11" spans="1:40">
      <c r="B11" s="67" t="s">
        <v>292</v>
      </c>
      <c r="C11" s="68" t="s">
        <v>106</v>
      </c>
      <c r="G11" s="67">
        <v>128.4</v>
      </c>
      <c r="H11" s="70">
        <v>65</v>
      </c>
      <c r="AN11" s="86">
        <f t="shared" si="0"/>
        <v>462</v>
      </c>
    </row>
    <row r="12" spans="1:40">
      <c r="B12" s="67" t="s">
        <v>292</v>
      </c>
      <c r="C12" s="68" t="s">
        <v>260</v>
      </c>
      <c r="G12" s="67">
        <v>462</v>
      </c>
      <c r="H12" s="70">
        <v>65</v>
      </c>
      <c r="AN12" s="86">
        <f t="shared" si="0"/>
        <v>0</v>
      </c>
    </row>
    <row r="13" spans="1:40">
      <c r="B13" s="67" t="s">
        <v>292</v>
      </c>
      <c r="C13" s="68" t="s">
        <v>110</v>
      </c>
      <c r="AN13" s="86">
        <f t="shared" si="0"/>
        <v>64.2</v>
      </c>
    </row>
    <row r="14" spans="1:40">
      <c r="B14" s="67" t="s">
        <v>154</v>
      </c>
      <c r="C14" s="68" t="s">
        <v>106</v>
      </c>
      <c r="J14" s="67">
        <v>154</v>
      </c>
      <c r="K14" s="70">
        <v>65</v>
      </c>
      <c r="V14" s="93">
        <v>64.2</v>
      </c>
      <c r="W14" s="70">
        <v>62</v>
      </c>
      <c r="AN14" s="86">
        <f t="shared" si="0"/>
        <v>1039.8000000000002</v>
      </c>
    </row>
    <row r="15" spans="1:40">
      <c r="B15" s="67" t="s">
        <v>154</v>
      </c>
      <c r="C15" s="68" t="s">
        <v>260</v>
      </c>
      <c r="J15" s="67">
        <v>539</v>
      </c>
      <c r="K15" s="70">
        <v>65</v>
      </c>
      <c r="M15" s="67">
        <v>526.20000000000005</v>
      </c>
      <c r="N15" s="70">
        <v>65</v>
      </c>
      <c r="V15" s="93">
        <v>513.6</v>
      </c>
      <c r="W15" s="70">
        <v>62</v>
      </c>
      <c r="AN15" s="86">
        <f t="shared" si="0"/>
        <v>0</v>
      </c>
    </row>
    <row r="16" spans="1:40">
      <c r="B16" s="67" t="s">
        <v>154</v>
      </c>
      <c r="C16" s="68" t="s">
        <v>74</v>
      </c>
      <c r="AN16" s="86">
        <f t="shared" si="0"/>
        <v>0</v>
      </c>
    </row>
    <row r="17" spans="2:40">
      <c r="B17" s="67" t="s">
        <v>154</v>
      </c>
      <c r="C17" s="68" t="s">
        <v>267</v>
      </c>
      <c r="AN17" s="86">
        <f t="shared" si="0"/>
        <v>0</v>
      </c>
    </row>
    <row r="18" spans="2:40">
      <c r="B18" s="67" t="s">
        <v>154</v>
      </c>
      <c r="C18" s="68" t="s">
        <v>130</v>
      </c>
      <c r="E18" s="96"/>
      <c r="AN18" s="86">
        <f t="shared" si="0"/>
        <v>0</v>
      </c>
    </row>
    <row r="19" spans="2:40">
      <c r="B19" s="67" t="s">
        <v>154</v>
      </c>
      <c r="C19" s="68" t="s">
        <v>268</v>
      </c>
      <c r="AN19" s="86">
        <f t="shared" si="0"/>
        <v>0</v>
      </c>
    </row>
    <row r="20" spans="2:40">
      <c r="B20" s="67" t="s">
        <v>154</v>
      </c>
      <c r="C20" s="68" t="s">
        <v>219</v>
      </c>
      <c r="AN20" s="86">
        <f t="shared" si="0"/>
        <v>87.1</v>
      </c>
    </row>
    <row r="21" spans="2:40">
      <c r="B21" s="67" t="s">
        <v>154</v>
      </c>
      <c r="C21" s="68" t="s">
        <v>321</v>
      </c>
      <c r="AH21" s="67">
        <v>87.1</v>
      </c>
      <c r="AI21" s="97">
        <f>45.2991455299*1.17</f>
        <v>53.000000269982998</v>
      </c>
      <c r="AN21" s="86">
        <f t="shared" si="0"/>
        <v>0</v>
      </c>
    </row>
    <row r="22" spans="2:40">
      <c r="B22" s="67" t="s">
        <v>154</v>
      </c>
      <c r="C22" s="68" t="s">
        <v>213</v>
      </c>
      <c r="AN22" s="86">
        <f t="shared" si="0"/>
        <v>0</v>
      </c>
    </row>
    <row r="23" spans="2:40">
      <c r="B23" s="67" t="s">
        <v>154</v>
      </c>
      <c r="C23" s="68" t="s">
        <v>245</v>
      </c>
      <c r="AN23" s="86">
        <f t="shared" si="0"/>
        <v>87</v>
      </c>
    </row>
    <row r="24" spans="2:40">
      <c r="B24" s="67" t="s">
        <v>154</v>
      </c>
      <c r="C24" s="68" t="s">
        <v>155</v>
      </c>
      <c r="AB24" s="67">
        <v>87</v>
      </c>
      <c r="AC24" s="97">
        <f>45.2991455299*1.17</f>
        <v>53.000000269982998</v>
      </c>
      <c r="AN24" s="86">
        <f t="shared" si="0"/>
        <v>0</v>
      </c>
    </row>
    <row r="25" spans="2:40">
      <c r="B25" s="67" t="s">
        <v>154</v>
      </c>
      <c r="C25" s="68" t="s">
        <v>278</v>
      </c>
      <c r="AN25" s="86">
        <f t="shared" si="0"/>
        <v>0</v>
      </c>
    </row>
    <row r="26" spans="2:40">
      <c r="B26" s="67" t="s">
        <v>154</v>
      </c>
      <c r="C26" s="68" t="s">
        <v>217</v>
      </c>
      <c r="Q26" s="70"/>
      <c r="T26" s="70"/>
      <c r="AN26" s="86">
        <f t="shared" si="0"/>
        <v>159.6</v>
      </c>
    </row>
    <row r="27" spans="2:40">
      <c r="B27" s="67" t="s">
        <v>154</v>
      </c>
      <c r="C27" s="68" t="s">
        <v>199</v>
      </c>
      <c r="D27" s="67">
        <v>73</v>
      </c>
      <c r="E27" s="70">
        <v>46</v>
      </c>
      <c r="Q27" s="70"/>
      <c r="T27" s="70"/>
      <c r="AH27" s="67">
        <v>86.6</v>
      </c>
      <c r="AI27" s="70">
        <f>39.316239316*1.17</f>
        <v>45.999999999719996</v>
      </c>
      <c r="AN27" s="86">
        <f t="shared" si="0"/>
        <v>1121.8</v>
      </c>
    </row>
    <row r="28" spans="2:40">
      <c r="B28" s="67" t="s">
        <v>154</v>
      </c>
      <c r="C28" s="68" t="s">
        <v>266</v>
      </c>
      <c r="D28" s="67">
        <v>175.8</v>
      </c>
      <c r="E28" s="70">
        <v>43</v>
      </c>
      <c r="G28" s="67">
        <f>83.1+83.8</f>
        <v>166.89999999999998</v>
      </c>
      <c r="H28" s="70">
        <v>43</v>
      </c>
      <c r="V28" s="93">
        <v>160</v>
      </c>
      <c r="W28" s="70">
        <v>41</v>
      </c>
      <c r="Z28" s="92"/>
      <c r="AC28" s="92"/>
      <c r="AF28" s="92"/>
      <c r="AH28" s="67">
        <f>88.8+88.6</f>
        <v>177.39999999999998</v>
      </c>
      <c r="AI28" s="92">
        <f>36.752136752*1.17</f>
        <v>42.999999999839993</v>
      </c>
      <c r="AK28" s="67">
        <v>441.7</v>
      </c>
      <c r="AL28" s="92">
        <f>36.752136752*1.17</f>
        <v>42.999999999839993</v>
      </c>
      <c r="AN28" s="86">
        <f t="shared" si="0"/>
        <v>411.20000000000005</v>
      </c>
    </row>
    <row r="29" spans="2:40">
      <c r="B29" s="98" t="s">
        <v>154</v>
      </c>
      <c r="C29" s="98" t="s">
        <v>336</v>
      </c>
      <c r="G29" s="67">
        <v>167</v>
      </c>
      <c r="H29" s="99">
        <v>43</v>
      </c>
      <c r="I29" s="95"/>
      <c r="J29" s="95"/>
      <c r="L29" s="95"/>
      <c r="M29" s="100"/>
      <c r="N29" s="101"/>
      <c r="O29" s="98"/>
      <c r="P29" s="98"/>
      <c r="Q29" s="70"/>
      <c r="R29" s="102"/>
      <c r="S29" s="103">
        <f>79.8+83.3</f>
        <v>163.1</v>
      </c>
      <c r="T29" s="104">
        <v>41</v>
      </c>
      <c r="U29" s="103"/>
      <c r="V29" s="102">
        <v>81.099999999999994</v>
      </c>
      <c r="W29" s="70">
        <v>41</v>
      </c>
      <c r="X29" s="102"/>
      <c r="AC29" s="92"/>
      <c r="AF29" s="92"/>
      <c r="AN29" s="86">
        <f t="shared" si="0"/>
        <v>860.9</v>
      </c>
    </row>
    <row r="30" spans="2:40">
      <c r="B30" s="98" t="s">
        <v>154</v>
      </c>
      <c r="C30" s="98" t="s">
        <v>291</v>
      </c>
      <c r="D30" s="67">
        <v>699.8</v>
      </c>
      <c r="E30" s="70">
        <v>43</v>
      </c>
      <c r="H30" s="99"/>
      <c r="I30" s="95"/>
      <c r="J30" s="95"/>
      <c r="L30" s="95"/>
      <c r="M30" s="95">
        <v>161.1</v>
      </c>
      <c r="N30" s="70">
        <v>43</v>
      </c>
      <c r="P30" s="95"/>
      <c r="Q30" s="105"/>
      <c r="S30" s="106"/>
      <c r="T30" s="107"/>
      <c r="V30" s="108"/>
      <c r="W30" s="99"/>
      <c r="AF30" s="92"/>
      <c r="AN30" s="86">
        <f t="shared" si="0"/>
        <v>83.7</v>
      </c>
    </row>
    <row r="31" spans="2:40">
      <c r="B31" s="67" t="s">
        <v>154</v>
      </c>
      <c r="C31" s="68" t="s">
        <v>269</v>
      </c>
      <c r="V31" s="93">
        <v>83.7</v>
      </c>
      <c r="W31" s="70">
        <v>41</v>
      </c>
      <c r="AN31" s="86">
        <f>D33+G33+M33+P33+S33+V33+Y33+AB33+AE33+AH33+AK33</f>
        <v>165.8</v>
      </c>
    </row>
    <row r="32" spans="2:40">
      <c r="B32" s="67" t="s">
        <v>154</v>
      </c>
      <c r="C32" s="68" t="s">
        <v>375</v>
      </c>
      <c r="D32" s="67">
        <v>83.6</v>
      </c>
      <c r="E32" s="70">
        <v>42</v>
      </c>
      <c r="S32" s="91">
        <v>10.32</v>
      </c>
      <c r="T32" s="92">
        <v>41</v>
      </c>
      <c r="AN32" s="86"/>
    </row>
    <row r="33" spans="1:40">
      <c r="B33" s="67" t="s">
        <v>154</v>
      </c>
      <c r="C33" s="68" t="s">
        <v>349</v>
      </c>
      <c r="AH33" s="67">
        <v>82.1</v>
      </c>
      <c r="AI33" s="92">
        <f>36.752136752*1.17</f>
        <v>42.999999999839993</v>
      </c>
      <c r="AK33" s="67">
        <v>83.7</v>
      </c>
      <c r="AL33" s="70">
        <f>35.897435897*1.17</f>
        <v>41.999999999490001</v>
      </c>
      <c r="AN33" s="86">
        <f t="shared" si="0"/>
        <v>507.2</v>
      </c>
    </row>
    <row r="34" spans="1:40">
      <c r="B34" s="67" t="s">
        <v>154</v>
      </c>
      <c r="C34" s="68" t="s">
        <v>216</v>
      </c>
      <c r="T34" s="70"/>
      <c r="AK34" s="67">
        <v>507.2</v>
      </c>
      <c r="AL34" s="70">
        <f>35.897435897*1.17</f>
        <v>41.999999999490001</v>
      </c>
      <c r="AN34" s="86">
        <f t="shared" si="0"/>
        <v>34.700000000000003</v>
      </c>
    </row>
    <row r="35" spans="1:40">
      <c r="B35" s="67" t="s">
        <v>154</v>
      </c>
      <c r="C35" s="68" t="s">
        <v>137</v>
      </c>
      <c r="AH35" s="67">
        <v>34.700000000000003</v>
      </c>
      <c r="AI35" s="92">
        <f>36.752136752*1.17</f>
        <v>42.999999999839993</v>
      </c>
      <c r="AN35" s="86">
        <f t="shared" si="0"/>
        <v>0</v>
      </c>
    </row>
    <row r="36" spans="1:40">
      <c r="B36" s="67" t="s">
        <v>154</v>
      </c>
      <c r="C36" s="68" t="s">
        <v>191</v>
      </c>
      <c r="E36" s="96"/>
      <c r="AC36" s="92"/>
      <c r="AN36" s="86">
        <f t="shared" si="0"/>
        <v>80.599999999999994</v>
      </c>
    </row>
    <row r="37" spans="1:40">
      <c r="B37" s="67" t="s">
        <v>154</v>
      </c>
      <c r="C37" s="68" t="s">
        <v>126</v>
      </c>
      <c r="M37" s="67">
        <v>80.599999999999994</v>
      </c>
      <c r="N37" s="70">
        <v>42</v>
      </c>
      <c r="AN37" s="86">
        <f t="shared" si="0"/>
        <v>0</v>
      </c>
    </row>
    <row r="38" spans="1:40">
      <c r="B38" s="67" t="s">
        <v>109</v>
      </c>
      <c r="C38" s="68" t="s">
        <v>108</v>
      </c>
      <c r="AN38" s="86">
        <f t="shared" si="0"/>
        <v>0</v>
      </c>
    </row>
    <row r="39" spans="1:40">
      <c r="A39" s="95"/>
      <c r="B39" s="67" t="s">
        <v>194</v>
      </c>
      <c r="C39" s="68" t="s">
        <v>195</v>
      </c>
      <c r="D39" s="95"/>
      <c r="E39" s="99"/>
      <c r="G39" s="95"/>
      <c r="H39" s="99"/>
      <c r="J39" s="95"/>
      <c r="K39" s="99"/>
      <c r="M39" s="95"/>
      <c r="N39" s="99"/>
      <c r="P39" s="95"/>
      <c r="Q39" s="105"/>
      <c r="S39" s="106"/>
      <c r="T39" s="107"/>
      <c r="V39" s="108"/>
      <c r="W39" s="99"/>
      <c r="Y39" s="95"/>
      <c r="Z39" s="99"/>
      <c r="AB39" s="95"/>
      <c r="AC39" s="99"/>
      <c r="AE39" s="95"/>
      <c r="AF39" s="99"/>
      <c r="AH39" s="95"/>
      <c r="AI39" s="99"/>
      <c r="AK39" s="95"/>
      <c r="AL39" s="99"/>
      <c r="AN39" s="86">
        <f t="shared" si="0"/>
        <v>0</v>
      </c>
    </row>
    <row r="40" spans="1:40">
      <c r="B40" s="67" t="s">
        <v>1</v>
      </c>
      <c r="C40" s="68" t="s">
        <v>126</v>
      </c>
      <c r="AN40" s="86">
        <f t="shared" si="0"/>
        <v>0</v>
      </c>
    </row>
    <row r="41" spans="1:40">
      <c r="B41" s="67" t="s">
        <v>135</v>
      </c>
      <c r="C41" s="68" t="s">
        <v>156</v>
      </c>
      <c r="AN41" s="86">
        <f t="shared" si="0"/>
        <v>0</v>
      </c>
    </row>
    <row r="42" spans="1:40">
      <c r="B42" s="67" t="s">
        <v>135</v>
      </c>
      <c r="C42" s="68" t="s">
        <v>136</v>
      </c>
      <c r="AN42" s="86">
        <f t="shared" si="0"/>
        <v>21.07</v>
      </c>
    </row>
    <row r="43" spans="1:40">
      <c r="B43" s="67" t="s">
        <v>3</v>
      </c>
      <c r="C43" s="68" t="s">
        <v>151</v>
      </c>
      <c r="D43" s="94">
        <v>21.07</v>
      </c>
      <c r="E43" s="70">
        <v>890</v>
      </c>
      <c r="AN43" s="86">
        <f t="shared" si="0"/>
        <v>0</v>
      </c>
    </row>
    <row r="44" spans="1:40">
      <c r="B44" s="67" t="s">
        <v>3</v>
      </c>
      <c r="C44" s="68" t="s">
        <v>187</v>
      </c>
      <c r="AN44" s="86">
        <f t="shared" si="0"/>
        <v>40.96</v>
      </c>
    </row>
    <row r="45" spans="1:40">
      <c r="B45" s="67" t="s">
        <v>3</v>
      </c>
      <c r="C45" s="68" t="s">
        <v>132</v>
      </c>
      <c r="D45" s="67">
        <v>40.96</v>
      </c>
      <c r="E45" s="70">
        <v>395</v>
      </c>
      <c r="AN45" s="86">
        <f t="shared" si="0"/>
        <v>0</v>
      </c>
    </row>
    <row r="46" spans="1:40">
      <c r="B46" s="67" t="s">
        <v>3</v>
      </c>
      <c r="C46" s="68" t="s">
        <v>159</v>
      </c>
      <c r="AN46" s="86">
        <f t="shared" si="0"/>
        <v>332.87</v>
      </c>
    </row>
    <row r="47" spans="1:40">
      <c r="B47" s="67" t="s">
        <v>3</v>
      </c>
      <c r="C47" s="68" t="s">
        <v>4</v>
      </c>
      <c r="D47" s="67">
        <v>49.28</v>
      </c>
      <c r="E47" s="70">
        <v>140</v>
      </c>
      <c r="J47" s="67">
        <v>60.31</v>
      </c>
      <c r="K47" s="70">
        <v>140</v>
      </c>
      <c r="M47" s="67">
        <v>50.63</v>
      </c>
      <c r="N47" s="70">
        <v>125</v>
      </c>
      <c r="S47" s="91">
        <f>31.48+51.06</f>
        <v>82.54</v>
      </c>
      <c r="T47" s="92">
        <v>115</v>
      </c>
      <c r="V47" s="93">
        <v>62.44</v>
      </c>
      <c r="W47" s="70">
        <v>115</v>
      </c>
      <c r="AH47" s="67">
        <v>29.13</v>
      </c>
      <c r="AI47" s="70">
        <f>119.65811966*1.17</f>
        <v>140.00000000219998</v>
      </c>
      <c r="AK47" s="67">
        <v>58.85</v>
      </c>
      <c r="AL47" s="70">
        <f>119.65811966*1.17</f>
        <v>140.00000000219998</v>
      </c>
      <c r="AN47" s="86">
        <f t="shared" si="0"/>
        <v>0</v>
      </c>
    </row>
    <row r="48" spans="1:40">
      <c r="B48" s="67" t="s">
        <v>3</v>
      </c>
      <c r="C48" s="68" t="s">
        <v>107</v>
      </c>
      <c r="AN48" s="86">
        <f t="shared" si="0"/>
        <v>58.53</v>
      </c>
    </row>
    <row r="49" spans="2:40">
      <c r="B49" s="67" t="s">
        <v>3</v>
      </c>
      <c r="C49" s="68" t="s">
        <v>221</v>
      </c>
      <c r="D49" s="67">
        <v>58.53</v>
      </c>
      <c r="E49" s="70">
        <v>64</v>
      </c>
      <c r="AN49" s="86">
        <f t="shared" si="0"/>
        <v>402.39</v>
      </c>
    </row>
    <row r="50" spans="2:40">
      <c r="B50" s="67" t="s">
        <v>3</v>
      </c>
      <c r="C50" s="68" t="s">
        <v>8</v>
      </c>
      <c r="D50" s="67">
        <v>95.44</v>
      </c>
      <c r="E50" s="70">
        <v>60</v>
      </c>
      <c r="J50" s="67">
        <v>67.44</v>
      </c>
      <c r="K50" s="70">
        <v>60</v>
      </c>
      <c r="M50" s="67">
        <f>68.48+70.06</f>
        <v>138.54000000000002</v>
      </c>
      <c r="N50" s="70">
        <v>52</v>
      </c>
      <c r="S50" s="91">
        <v>66.2</v>
      </c>
      <c r="T50" s="70">
        <v>52</v>
      </c>
      <c r="AH50" s="67">
        <v>102.21</v>
      </c>
      <c r="AI50" s="70">
        <f>51.282051282*1.17</f>
        <v>59.999999999939995</v>
      </c>
      <c r="AN50" s="86">
        <f>D52+G52+M52+P52+S52+V52+Y52+AB52+AE52+AH52+AK52</f>
        <v>0</v>
      </c>
    </row>
    <row r="51" spans="2:40">
      <c r="B51" s="67" t="s">
        <v>376</v>
      </c>
      <c r="C51" s="68" t="s">
        <v>77</v>
      </c>
      <c r="D51" s="67">
        <f>23.2+40</f>
        <v>63.2</v>
      </c>
      <c r="E51" s="70">
        <v>16</v>
      </c>
      <c r="AN51" s="86">
        <f t="shared" ref="AN51" si="1">D52+G52+M52+P52+S52+V52+Y52+AB52+AE52+AH52+AK52</f>
        <v>0</v>
      </c>
    </row>
    <row r="52" spans="2:40">
      <c r="B52" s="67" t="s">
        <v>378</v>
      </c>
      <c r="C52" s="68" t="s">
        <v>77</v>
      </c>
      <c r="J52" s="67">
        <v>117.58</v>
      </c>
      <c r="K52" s="70">
        <v>60</v>
      </c>
      <c r="AN52" s="86">
        <f t="shared" si="0"/>
        <v>133.20000000000002</v>
      </c>
    </row>
    <row r="53" spans="2:40">
      <c r="B53" s="67" t="s">
        <v>3</v>
      </c>
      <c r="C53" s="68" t="s">
        <v>335</v>
      </c>
      <c r="M53" s="67">
        <v>44.32</v>
      </c>
      <c r="N53" s="70">
        <v>60</v>
      </c>
      <c r="Q53" s="70"/>
      <c r="V53" s="93">
        <v>45.42</v>
      </c>
      <c r="W53" s="70">
        <v>52</v>
      </c>
      <c r="AH53" s="67">
        <v>43.46</v>
      </c>
      <c r="AI53" s="70">
        <f>51.282051282*1.17</f>
        <v>59.999999999939995</v>
      </c>
      <c r="AN53" s="86">
        <f t="shared" si="0"/>
        <v>0</v>
      </c>
    </row>
    <row r="54" spans="2:40">
      <c r="B54" s="67" t="s">
        <v>133</v>
      </c>
      <c r="C54" s="68" t="s">
        <v>158</v>
      </c>
      <c r="AN54" s="86">
        <f t="shared" si="0"/>
        <v>0</v>
      </c>
    </row>
    <row r="55" spans="2:40">
      <c r="B55" s="67" t="s">
        <v>133</v>
      </c>
      <c r="C55" s="68" t="s">
        <v>138</v>
      </c>
      <c r="AN55" s="86">
        <f t="shared" si="0"/>
        <v>0</v>
      </c>
    </row>
    <row r="56" spans="2:40">
      <c r="B56" s="67" t="s">
        <v>133</v>
      </c>
      <c r="C56" s="68" t="s">
        <v>362</v>
      </c>
      <c r="AN56" s="86">
        <f t="shared" si="0"/>
        <v>0</v>
      </c>
    </row>
    <row r="57" spans="2:40">
      <c r="B57" s="67" t="s">
        <v>133</v>
      </c>
      <c r="C57" s="68" t="s">
        <v>225</v>
      </c>
      <c r="AN57" s="86">
        <f>D59+G59+M59+P59+S59+V59+Y59+AB59+AE59+AH59+AK59</f>
        <v>0</v>
      </c>
    </row>
    <row r="58" spans="2:40">
      <c r="B58" s="67" t="s">
        <v>133</v>
      </c>
      <c r="C58" s="68" t="s">
        <v>380</v>
      </c>
      <c r="V58" s="93">
        <v>18.82</v>
      </c>
      <c r="W58" s="70">
        <v>41</v>
      </c>
      <c r="AN58" s="86">
        <f t="shared" ref="AN58" si="2">D59+G59+M59+P59+S59+V59+Y59+AB59+AE59+AH59+AK59</f>
        <v>0</v>
      </c>
    </row>
    <row r="59" spans="2:40">
      <c r="B59" s="67" t="s">
        <v>133</v>
      </c>
      <c r="C59" s="68" t="s">
        <v>134</v>
      </c>
      <c r="AN59" s="86">
        <f t="shared" si="0"/>
        <v>19.399999999999999</v>
      </c>
    </row>
    <row r="60" spans="2:40">
      <c r="B60" s="67" t="s">
        <v>133</v>
      </c>
      <c r="C60" s="68" t="s">
        <v>379</v>
      </c>
      <c r="M60" s="67">
        <v>10.24</v>
      </c>
      <c r="N60" s="70">
        <v>43</v>
      </c>
      <c r="AK60" s="67">
        <v>9.16</v>
      </c>
      <c r="AL60" s="70">
        <f>36.752136752*1.17</f>
        <v>42.999999999839993</v>
      </c>
      <c r="AN60" s="86">
        <f t="shared" si="0"/>
        <v>0</v>
      </c>
    </row>
    <row r="61" spans="2:40">
      <c r="B61" s="67" t="s">
        <v>133</v>
      </c>
      <c r="C61" s="68" t="s">
        <v>361</v>
      </c>
      <c r="AN61" s="86">
        <f t="shared" si="0"/>
        <v>0</v>
      </c>
    </row>
    <row r="62" spans="2:40">
      <c r="B62" s="67" t="s">
        <v>133</v>
      </c>
      <c r="C62" s="68" t="s">
        <v>244</v>
      </c>
      <c r="AN62" s="86">
        <f t="shared" si="0"/>
        <v>0</v>
      </c>
    </row>
    <row r="63" spans="2:40">
      <c r="B63" s="67" t="s">
        <v>364</v>
      </c>
      <c r="C63" s="68" t="s">
        <v>218</v>
      </c>
      <c r="AN63" s="86">
        <f t="shared" si="0"/>
        <v>0</v>
      </c>
    </row>
    <row r="64" spans="2:40">
      <c r="B64" s="67" t="s">
        <v>364</v>
      </c>
      <c r="C64" s="68" t="s">
        <v>280</v>
      </c>
      <c r="AN64" s="86">
        <f t="shared" si="0"/>
        <v>0</v>
      </c>
    </row>
    <row r="65" spans="2:40">
      <c r="B65" s="67" t="s">
        <v>364</v>
      </c>
      <c r="C65" s="68" t="s">
        <v>65</v>
      </c>
      <c r="AN65" s="86">
        <f t="shared" si="0"/>
        <v>0</v>
      </c>
    </row>
    <row r="66" spans="2:40">
      <c r="B66" s="67" t="s">
        <v>364</v>
      </c>
      <c r="C66" s="68" t="s">
        <v>130</v>
      </c>
      <c r="AN66" s="86">
        <f t="shared" si="0"/>
        <v>0</v>
      </c>
    </row>
    <row r="67" spans="2:40">
      <c r="B67" s="67" t="s">
        <v>364</v>
      </c>
      <c r="C67" s="68" t="s">
        <v>196</v>
      </c>
      <c r="E67" s="96"/>
      <c r="AN67" s="86">
        <f t="shared" si="0"/>
        <v>0</v>
      </c>
    </row>
    <row r="68" spans="2:40">
      <c r="B68" s="67" t="s">
        <v>364</v>
      </c>
      <c r="C68" s="68" t="s">
        <v>184</v>
      </c>
      <c r="AN68" s="86">
        <f t="shared" si="0"/>
        <v>0</v>
      </c>
    </row>
    <row r="69" spans="2:40">
      <c r="B69" s="67" t="s">
        <v>364</v>
      </c>
      <c r="C69" s="68" t="s">
        <v>213</v>
      </c>
      <c r="AN69" s="86">
        <f t="shared" si="0"/>
        <v>0</v>
      </c>
    </row>
    <row r="70" spans="2:40">
      <c r="B70" s="67" t="s">
        <v>364</v>
      </c>
      <c r="C70" s="68" t="s">
        <v>193</v>
      </c>
      <c r="E70" s="96"/>
      <c r="AN70" s="86">
        <f t="shared" si="0"/>
        <v>26.439999999999998</v>
      </c>
    </row>
    <row r="71" spans="2:40">
      <c r="B71" s="67" t="s">
        <v>364</v>
      </c>
      <c r="C71" s="68" t="s">
        <v>365</v>
      </c>
      <c r="E71" s="96"/>
      <c r="V71" s="93">
        <v>15.07</v>
      </c>
      <c r="W71" s="70">
        <v>62</v>
      </c>
      <c r="AK71" s="67">
        <v>11.37</v>
      </c>
      <c r="AL71" s="70">
        <f>55.55555556*1.17</f>
        <v>65.000000005199993</v>
      </c>
      <c r="AN71" s="86">
        <f t="shared" ref="AN71:AN131" si="3">D72+G72+M72+P72+S72+V72+Y72+AB72+AE72+AH72+AK72</f>
        <v>12.7</v>
      </c>
    </row>
    <row r="72" spans="2:40">
      <c r="B72" s="67" t="s">
        <v>2</v>
      </c>
      <c r="C72" s="68" t="s">
        <v>367</v>
      </c>
      <c r="E72" s="96"/>
      <c r="AK72" s="67">
        <v>12.7</v>
      </c>
      <c r="AL72" s="70">
        <f>51.282051282*1.17</f>
        <v>59.999999999939995</v>
      </c>
      <c r="AN72" s="86">
        <f t="shared" si="3"/>
        <v>0</v>
      </c>
    </row>
    <row r="73" spans="2:40">
      <c r="B73" s="67" t="s">
        <v>364</v>
      </c>
      <c r="C73" s="68" t="s">
        <v>327</v>
      </c>
      <c r="E73" s="96"/>
      <c r="AN73" s="86">
        <f t="shared" si="3"/>
        <v>0</v>
      </c>
    </row>
    <row r="74" spans="2:40">
      <c r="B74" s="67" t="s">
        <v>364</v>
      </c>
      <c r="C74" s="68" t="s">
        <v>217</v>
      </c>
      <c r="AN74" s="86">
        <f t="shared" si="3"/>
        <v>0</v>
      </c>
    </row>
    <row r="75" spans="2:40">
      <c r="B75" s="67" t="s">
        <v>364</v>
      </c>
      <c r="C75" s="68" t="s">
        <v>277</v>
      </c>
      <c r="AN75" s="86">
        <f t="shared" si="3"/>
        <v>0</v>
      </c>
    </row>
    <row r="76" spans="2:40">
      <c r="B76" s="67" t="s">
        <v>364</v>
      </c>
      <c r="C76" s="68" t="s">
        <v>214</v>
      </c>
      <c r="E76" s="96"/>
      <c r="AN76" s="86">
        <f t="shared" si="3"/>
        <v>0</v>
      </c>
    </row>
    <row r="77" spans="2:40">
      <c r="B77" s="67" t="s">
        <v>364</v>
      </c>
      <c r="C77" s="68" t="s">
        <v>216</v>
      </c>
      <c r="AN77" s="86">
        <f t="shared" si="3"/>
        <v>0</v>
      </c>
    </row>
    <row r="78" spans="2:40">
      <c r="B78" s="67" t="s">
        <v>364</v>
      </c>
      <c r="C78" s="68" t="s">
        <v>137</v>
      </c>
      <c r="AN78" s="86">
        <f t="shared" si="3"/>
        <v>0</v>
      </c>
    </row>
    <row r="79" spans="2:40">
      <c r="B79" s="67" t="s">
        <v>364</v>
      </c>
      <c r="C79" s="68" t="s">
        <v>286</v>
      </c>
      <c r="AN79" s="86">
        <f t="shared" si="3"/>
        <v>0</v>
      </c>
    </row>
    <row r="80" spans="2:40">
      <c r="B80" s="67" t="s">
        <v>364</v>
      </c>
      <c r="C80" s="68" t="s">
        <v>219</v>
      </c>
      <c r="AN80" s="86">
        <f t="shared" si="3"/>
        <v>0</v>
      </c>
    </row>
    <row r="81" spans="2:40">
      <c r="B81" s="67" t="s">
        <v>364</v>
      </c>
      <c r="C81" s="68" t="s">
        <v>190</v>
      </c>
      <c r="AN81" s="86">
        <f t="shared" si="3"/>
        <v>0</v>
      </c>
    </row>
    <row r="82" spans="2:40">
      <c r="B82" s="67" t="s">
        <v>364</v>
      </c>
      <c r="C82" s="68" t="s">
        <v>167</v>
      </c>
      <c r="AN82" s="86">
        <f t="shared" si="3"/>
        <v>0</v>
      </c>
    </row>
    <row r="83" spans="2:40">
      <c r="B83" s="67" t="s">
        <v>102</v>
      </c>
      <c r="C83" s="68" t="s">
        <v>192</v>
      </c>
      <c r="AN83" s="86">
        <f t="shared" si="3"/>
        <v>0</v>
      </c>
    </row>
    <row r="84" spans="2:40">
      <c r="B84" s="67" t="s">
        <v>102</v>
      </c>
      <c r="C84" s="68" t="s">
        <v>199</v>
      </c>
      <c r="AN84" s="86">
        <f t="shared" si="3"/>
        <v>0</v>
      </c>
    </row>
    <row r="85" spans="2:40">
      <c r="B85" s="67" t="s">
        <v>102</v>
      </c>
      <c r="C85" s="68" t="s">
        <v>103</v>
      </c>
      <c r="AN85" s="86">
        <f t="shared" si="3"/>
        <v>0</v>
      </c>
    </row>
    <row r="86" spans="2:40">
      <c r="B86" s="67" t="s">
        <v>49</v>
      </c>
      <c r="C86" s="68" t="s">
        <v>131</v>
      </c>
      <c r="AN86" s="86">
        <f t="shared" si="3"/>
        <v>0</v>
      </c>
    </row>
    <row r="87" spans="2:40">
      <c r="B87" s="67" t="s">
        <v>49</v>
      </c>
      <c r="C87" s="68" t="s">
        <v>106</v>
      </c>
      <c r="AK87" s="71"/>
      <c r="AN87" s="86">
        <f t="shared" si="3"/>
        <v>0</v>
      </c>
    </row>
    <row r="88" spans="2:40">
      <c r="B88" s="67" t="s">
        <v>49</v>
      </c>
      <c r="C88" s="68" t="s">
        <v>260</v>
      </c>
      <c r="AN88" s="86">
        <f t="shared" si="3"/>
        <v>0</v>
      </c>
    </row>
    <row r="89" spans="2:40">
      <c r="B89" s="67" t="s">
        <v>49</v>
      </c>
      <c r="C89" s="68" t="s">
        <v>110</v>
      </c>
      <c r="AN89" s="86">
        <f t="shared" si="3"/>
        <v>0</v>
      </c>
    </row>
    <row r="90" spans="2:40">
      <c r="B90" s="67" t="s">
        <v>49</v>
      </c>
      <c r="C90" s="68" t="s">
        <v>65</v>
      </c>
      <c r="E90" s="96"/>
      <c r="AN90" s="86">
        <f t="shared" si="3"/>
        <v>0</v>
      </c>
    </row>
    <row r="91" spans="2:40">
      <c r="B91" s="67" t="s">
        <v>49</v>
      </c>
      <c r="C91" s="68" t="s">
        <v>74</v>
      </c>
      <c r="AN91" s="86">
        <f t="shared" si="3"/>
        <v>0</v>
      </c>
    </row>
    <row r="92" spans="2:40">
      <c r="B92" s="67" t="s">
        <v>49</v>
      </c>
      <c r="C92" s="68" t="s">
        <v>50</v>
      </c>
      <c r="AN92" s="86">
        <f t="shared" si="3"/>
        <v>0</v>
      </c>
    </row>
    <row r="93" spans="2:40">
      <c r="B93" s="67" t="s">
        <v>49</v>
      </c>
      <c r="C93" s="68" t="s">
        <v>130</v>
      </c>
      <c r="AN93" s="86">
        <f t="shared" si="3"/>
        <v>0</v>
      </c>
    </row>
    <row r="94" spans="2:40">
      <c r="B94" s="67" t="s">
        <v>49</v>
      </c>
      <c r="C94" s="68" t="s">
        <v>48</v>
      </c>
      <c r="AN94" s="86">
        <f t="shared" si="3"/>
        <v>0</v>
      </c>
    </row>
    <row r="95" spans="2:40">
      <c r="B95" s="67" t="s">
        <v>49</v>
      </c>
      <c r="C95" s="68" t="s">
        <v>73</v>
      </c>
      <c r="AN95" s="86">
        <f t="shared" si="3"/>
        <v>0</v>
      </c>
    </row>
    <row r="96" spans="2:40">
      <c r="B96" s="67" t="s">
        <v>49</v>
      </c>
      <c r="C96" s="68" t="s">
        <v>266</v>
      </c>
      <c r="AN96" s="86">
        <f t="shared" si="3"/>
        <v>0</v>
      </c>
    </row>
    <row r="97" spans="1:40">
      <c r="D97" s="94"/>
      <c r="AN97" s="86">
        <f t="shared" si="3"/>
        <v>0</v>
      </c>
    </row>
    <row r="98" spans="1:40" s="109" customFormat="1">
      <c r="C98" s="110"/>
      <c r="E98" s="111"/>
      <c r="F98" s="112"/>
      <c r="H98" s="111"/>
      <c r="I98" s="110"/>
      <c r="K98" s="111"/>
      <c r="L98" s="112"/>
      <c r="N98" s="111"/>
      <c r="O98" s="110"/>
      <c r="Q98" s="113"/>
      <c r="R98" s="112"/>
      <c r="S98" s="114"/>
      <c r="T98" s="115"/>
      <c r="U98" s="116"/>
      <c r="V98" s="117"/>
      <c r="W98" s="111"/>
      <c r="X98" s="112"/>
      <c r="Z98" s="111"/>
      <c r="AA98" s="110"/>
      <c r="AC98" s="111"/>
      <c r="AD98" s="110"/>
      <c r="AF98" s="111"/>
      <c r="AG98" s="110"/>
      <c r="AI98" s="111"/>
      <c r="AJ98" s="110"/>
      <c r="AL98" s="111"/>
      <c r="AM98" s="110"/>
      <c r="AN98" s="86">
        <f t="shared" si="3"/>
        <v>0</v>
      </c>
    </row>
    <row r="99" spans="1:40" ht="8.25" customHeight="1">
      <c r="AN99" s="86">
        <f t="shared" si="3"/>
        <v>0</v>
      </c>
    </row>
    <row r="100" spans="1:40">
      <c r="A100" s="67" t="s">
        <v>9</v>
      </c>
      <c r="B100" s="67" t="s">
        <v>10</v>
      </c>
      <c r="C100" s="68" t="s">
        <v>237</v>
      </c>
      <c r="AN100" s="86">
        <f t="shared" si="3"/>
        <v>0</v>
      </c>
    </row>
    <row r="101" spans="1:40">
      <c r="B101" s="67" t="s">
        <v>10</v>
      </c>
      <c r="C101" s="68" t="s">
        <v>219</v>
      </c>
      <c r="AN101" s="86">
        <f t="shared" si="3"/>
        <v>74.099999999999994</v>
      </c>
    </row>
    <row r="102" spans="1:40">
      <c r="B102" s="67" t="s">
        <v>10</v>
      </c>
      <c r="C102" s="68" t="s">
        <v>183</v>
      </c>
      <c r="D102" s="67">
        <v>74.099999999999994</v>
      </c>
      <c r="E102" s="70">
        <f>64.102564103*1.17</f>
        <v>75.000000000509999</v>
      </c>
      <c r="AN102" s="86">
        <f t="shared" si="3"/>
        <v>78.8</v>
      </c>
    </row>
    <row r="103" spans="1:40">
      <c r="B103" s="67" t="s">
        <v>10</v>
      </c>
      <c r="C103" s="68" t="s">
        <v>250</v>
      </c>
      <c r="Q103" s="70"/>
      <c r="AK103" s="67">
        <v>78.8</v>
      </c>
      <c r="AL103" s="70">
        <f>58.11965812*1.17</f>
        <v>68.000000000399993</v>
      </c>
      <c r="AN103" s="86">
        <f t="shared" si="3"/>
        <v>1251.2999999999997</v>
      </c>
    </row>
    <row r="104" spans="1:40">
      <c r="B104" s="67" t="s">
        <v>10</v>
      </c>
      <c r="C104" s="68" t="s">
        <v>46</v>
      </c>
      <c r="D104" s="67">
        <v>153</v>
      </c>
      <c r="E104" s="70">
        <f>58.11965812*1.17</f>
        <v>68.000000000399993</v>
      </c>
      <c r="J104" s="67">
        <v>155.19999999999999</v>
      </c>
      <c r="K104" s="70">
        <v>68</v>
      </c>
      <c r="Q104" s="70"/>
      <c r="T104" s="70"/>
      <c r="V104" s="93">
        <v>192.7</v>
      </c>
      <c r="W104" s="70">
        <f>58.11965812*1.17</f>
        <v>68.000000000399993</v>
      </c>
      <c r="Y104" s="67">
        <v>147.6</v>
      </c>
      <c r="Z104" s="70">
        <f>58.11965812*1.17</f>
        <v>68.000000000399993</v>
      </c>
      <c r="AB104" s="67">
        <v>140.9</v>
      </c>
      <c r="AC104" s="70">
        <f>58.11965812*1.17</f>
        <v>68.000000000399993</v>
      </c>
      <c r="AE104" s="67">
        <v>141.19999999999999</v>
      </c>
      <c r="AF104" s="70">
        <f>58.11965812*1.17</f>
        <v>68.000000000399993</v>
      </c>
      <c r="AH104" s="67">
        <v>146.9</v>
      </c>
      <c r="AI104" s="70">
        <f>58.11965812*1.17</f>
        <v>68.000000000399993</v>
      </c>
      <c r="AK104" s="67">
        <v>329</v>
      </c>
      <c r="AL104" s="70">
        <f>58.11965812*1.17</f>
        <v>68.000000000399993</v>
      </c>
      <c r="AN104" s="86">
        <f t="shared" si="3"/>
        <v>0</v>
      </c>
    </row>
    <row r="105" spans="1:40">
      <c r="B105" s="67" t="s">
        <v>10</v>
      </c>
      <c r="C105" s="68" t="s">
        <v>236</v>
      </c>
      <c r="AN105" s="86">
        <f t="shared" si="3"/>
        <v>781.7</v>
      </c>
    </row>
    <row r="106" spans="1:40">
      <c r="B106" s="67" t="s">
        <v>10</v>
      </c>
      <c r="C106" s="68" t="s">
        <v>47</v>
      </c>
      <c r="G106" s="67">
        <v>176.3</v>
      </c>
      <c r="H106" s="70">
        <v>68</v>
      </c>
      <c r="J106" s="67">
        <v>77.400000000000006</v>
      </c>
      <c r="K106" s="70">
        <v>68</v>
      </c>
      <c r="Q106" s="70"/>
      <c r="AB106" s="67">
        <v>65</v>
      </c>
      <c r="AC106" s="70">
        <f>58.11965812*1.17</f>
        <v>68.000000000399993</v>
      </c>
      <c r="AE106" s="67">
        <v>159.30000000000001</v>
      </c>
      <c r="AF106" s="70">
        <f>58.11965812*1.17</f>
        <v>68.000000000399993</v>
      </c>
      <c r="AH106" s="67">
        <v>68.400000000000006</v>
      </c>
      <c r="AI106" s="70">
        <f>58.11965812*1.17</f>
        <v>68.000000000399993</v>
      </c>
      <c r="AK106" s="67">
        <v>312.7</v>
      </c>
      <c r="AL106" s="70">
        <f>58.11965812*1.17</f>
        <v>68.000000000399993</v>
      </c>
      <c r="AN106" s="86">
        <f t="shared" si="3"/>
        <v>0</v>
      </c>
    </row>
    <row r="107" spans="1:40">
      <c r="B107" s="67" t="s">
        <v>10</v>
      </c>
      <c r="C107" s="68" t="s">
        <v>94</v>
      </c>
      <c r="AN107" s="86">
        <f t="shared" si="3"/>
        <v>0</v>
      </c>
    </row>
    <row r="108" spans="1:40">
      <c r="B108" s="67" t="s">
        <v>10</v>
      </c>
      <c r="C108" s="68" t="s">
        <v>44</v>
      </c>
      <c r="AN108" s="86">
        <f t="shared" si="3"/>
        <v>0</v>
      </c>
    </row>
    <row r="109" spans="1:40">
      <c r="B109" s="67" t="s">
        <v>10</v>
      </c>
      <c r="C109" s="68" t="s">
        <v>124</v>
      </c>
      <c r="AN109" s="86">
        <f t="shared" si="3"/>
        <v>1479.7</v>
      </c>
    </row>
    <row r="110" spans="1:40">
      <c r="B110" s="67" t="s">
        <v>10</v>
      </c>
      <c r="C110" s="68" t="s">
        <v>337</v>
      </c>
      <c r="D110" s="67">
        <v>147.80000000000001</v>
      </c>
      <c r="E110" s="70">
        <f>52.991452991*1.17</f>
        <v>61.999999999469999</v>
      </c>
      <c r="Q110" s="70"/>
      <c r="V110" s="93">
        <v>316.3</v>
      </c>
      <c r="W110" s="70">
        <f>52.991452991*1.17</f>
        <v>61.999999999469999</v>
      </c>
      <c r="Y110" s="67">
        <v>153.1</v>
      </c>
      <c r="Z110" s="70">
        <f>52.991452991*1.17</f>
        <v>61.999999999469999</v>
      </c>
      <c r="AB110" s="67">
        <v>289.5</v>
      </c>
      <c r="AC110" s="70">
        <f>52.991452991*1.17</f>
        <v>61.999999999469999</v>
      </c>
      <c r="AE110" s="67">
        <v>147.80000000000001</v>
      </c>
      <c r="AF110" s="70">
        <f>52.991452991*1.17</f>
        <v>61.999999999469999</v>
      </c>
      <c r="AH110" s="67">
        <v>124.9</v>
      </c>
      <c r="AI110" s="70">
        <f>52.991452991*1.17</f>
        <v>61.999999999469999</v>
      </c>
      <c r="AK110" s="67">
        <v>300.3</v>
      </c>
      <c r="AL110" s="70">
        <f>52.991452991*1.17</f>
        <v>61.999999999469999</v>
      </c>
      <c r="AN110" s="86">
        <f t="shared" si="3"/>
        <v>0</v>
      </c>
    </row>
    <row r="111" spans="1:40">
      <c r="B111" s="67" t="s">
        <v>10</v>
      </c>
      <c r="C111" s="68" t="s">
        <v>89</v>
      </c>
      <c r="AN111" s="86">
        <f t="shared" si="3"/>
        <v>0</v>
      </c>
    </row>
    <row r="112" spans="1:40">
      <c r="B112" s="67" t="s">
        <v>10</v>
      </c>
      <c r="C112" s="68" t="s">
        <v>98</v>
      </c>
      <c r="AN112" s="86">
        <f t="shared" si="3"/>
        <v>309.7</v>
      </c>
    </row>
    <row r="113" spans="2:40">
      <c r="B113" s="67" t="s">
        <v>117</v>
      </c>
      <c r="C113" s="68" t="s">
        <v>118</v>
      </c>
      <c r="D113" s="67">
        <v>82.1</v>
      </c>
      <c r="E113" s="70">
        <f>54.700854701*1.17</f>
        <v>64.00000000016999</v>
      </c>
      <c r="G113" s="67">
        <v>75.900000000000006</v>
      </c>
      <c r="H113" s="70">
        <v>64</v>
      </c>
      <c r="AE113" s="67">
        <v>78.7</v>
      </c>
      <c r="AF113" s="70">
        <f>54.700854701*1.17</f>
        <v>64.00000000016999</v>
      </c>
      <c r="AH113" s="67">
        <v>73</v>
      </c>
      <c r="AI113" s="70">
        <f>54.700854701*1.17</f>
        <v>64.00000000016999</v>
      </c>
      <c r="AN113" s="86">
        <f t="shared" si="3"/>
        <v>0</v>
      </c>
    </row>
    <row r="114" spans="2:40">
      <c r="B114" s="67" t="s">
        <v>10</v>
      </c>
      <c r="C114" s="68" t="s">
        <v>95</v>
      </c>
      <c r="AN114" s="86">
        <f t="shared" si="3"/>
        <v>0</v>
      </c>
    </row>
    <row r="115" spans="2:40">
      <c r="B115" s="67" t="s">
        <v>10</v>
      </c>
      <c r="C115" s="68" t="s">
        <v>153</v>
      </c>
      <c r="AN115" s="86">
        <f t="shared" si="3"/>
        <v>0</v>
      </c>
    </row>
    <row r="116" spans="2:40">
      <c r="B116" s="67" t="s">
        <v>10</v>
      </c>
      <c r="C116" s="68" t="s">
        <v>91</v>
      </c>
      <c r="AN116" s="86">
        <f t="shared" si="3"/>
        <v>0</v>
      </c>
    </row>
    <row r="117" spans="2:40">
      <c r="B117" s="67" t="s">
        <v>10</v>
      </c>
      <c r="C117" s="68" t="s">
        <v>45</v>
      </c>
      <c r="AN117" s="86">
        <f t="shared" si="3"/>
        <v>0</v>
      </c>
    </row>
    <row r="118" spans="2:40">
      <c r="B118" s="67" t="s">
        <v>10</v>
      </c>
      <c r="C118" s="68" t="s">
        <v>97</v>
      </c>
      <c r="AN118" s="86">
        <f t="shared" si="3"/>
        <v>0</v>
      </c>
    </row>
    <row r="119" spans="2:40">
      <c r="B119" s="67" t="s">
        <v>10</v>
      </c>
      <c r="C119" s="68" t="s">
        <v>99</v>
      </c>
      <c r="AN119" s="86">
        <f t="shared" si="3"/>
        <v>0</v>
      </c>
    </row>
    <row r="120" spans="2:40">
      <c r="B120" s="67" t="s">
        <v>10</v>
      </c>
      <c r="C120" s="68" t="s">
        <v>96</v>
      </c>
      <c r="AN120" s="86">
        <f t="shared" si="3"/>
        <v>0</v>
      </c>
    </row>
    <row r="121" spans="2:40">
      <c r="B121" s="67" t="s">
        <v>10</v>
      </c>
      <c r="C121" s="68" t="s">
        <v>92</v>
      </c>
      <c r="AN121" s="86">
        <f t="shared" si="3"/>
        <v>0</v>
      </c>
    </row>
    <row r="122" spans="2:40" s="81" customFormat="1">
      <c r="B122" s="81" t="s">
        <v>117</v>
      </c>
      <c r="C122" s="82" t="s">
        <v>122</v>
      </c>
      <c r="E122" s="83"/>
      <c r="F122" s="82"/>
      <c r="H122" s="83"/>
      <c r="I122" s="82"/>
      <c r="K122" s="83"/>
      <c r="L122" s="82"/>
      <c r="N122" s="83"/>
      <c r="O122" s="82"/>
      <c r="Q122" s="84"/>
      <c r="R122" s="85"/>
      <c r="S122" s="86"/>
      <c r="T122" s="87"/>
      <c r="U122" s="88"/>
      <c r="V122" s="89"/>
      <c r="W122" s="83"/>
      <c r="X122" s="85"/>
      <c r="Z122" s="83"/>
      <c r="AA122" s="82"/>
      <c r="AC122" s="83"/>
      <c r="AD122" s="82"/>
      <c r="AF122" s="83"/>
      <c r="AG122" s="82"/>
      <c r="AI122" s="83"/>
      <c r="AJ122" s="82"/>
      <c r="AL122" s="83"/>
      <c r="AM122" s="82"/>
      <c r="AN122" s="86">
        <f t="shared" si="3"/>
        <v>0</v>
      </c>
    </row>
    <row r="123" spans="2:40">
      <c r="B123" s="67" t="s">
        <v>10</v>
      </c>
      <c r="C123" s="68" t="s">
        <v>93</v>
      </c>
      <c r="AN123" s="86">
        <f t="shared" si="3"/>
        <v>0</v>
      </c>
    </row>
    <row r="124" spans="2:40">
      <c r="B124" s="67" t="s">
        <v>117</v>
      </c>
      <c r="C124" s="68" t="s">
        <v>121</v>
      </c>
      <c r="AN124" s="86">
        <f t="shared" si="3"/>
        <v>0</v>
      </c>
    </row>
    <row r="125" spans="2:40">
      <c r="B125" s="67" t="s">
        <v>10</v>
      </c>
      <c r="C125" s="68" t="s">
        <v>90</v>
      </c>
      <c r="AN125" s="86">
        <f t="shared" si="3"/>
        <v>0</v>
      </c>
    </row>
    <row r="126" spans="2:40">
      <c r="B126" s="67" t="s">
        <v>10</v>
      </c>
      <c r="C126" s="68" t="s">
        <v>152</v>
      </c>
      <c r="AN126" s="86">
        <f t="shared" si="3"/>
        <v>0</v>
      </c>
    </row>
    <row r="127" spans="2:40">
      <c r="B127" s="67" t="s">
        <v>10</v>
      </c>
      <c r="C127" s="68" t="s">
        <v>88</v>
      </c>
      <c r="AN127" s="86">
        <f t="shared" si="3"/>
        <v>0</v>
      </c>
    </row>
    <row r="128" spans="2:40">
      <c r="B128" s="67" t="s">
        <v>10</v>
      </c>
      <c r="C128" s="68" t="s">
        <v>125</v>
      </c>
      <c r="AN128" s="86">
        <f t="shared" si="3"/>
        <v>0</v>
      </c>
    </row>
    <row r="129" spans="1:40">
      <c r="D129" s="70"/>
      <c r="M129" s="68"/>
      <c r="N129" s="118"/>
      <c r="P129" s="68"/>
      <c r="Q129" s="119"/>
      <c r="AN129" s="86">
        <f t="shared" si="3"/>
        <v>0</v>
      </c>
    </row>
    <row r="130" spans="1:40" ht="16.8" customHeight="1">
      <c r="A130" s="81" t="s">
        <v>12</v>
      </c>
      <c r="B130" s="81" t="s">
        <v>13</v>
      </c>
      <c r="C130" s="82" t="s">
        <v>356</v>
      </c>
      <c r="AN130" s="86">
        <f t="shared" si="3"/>
        <v>346.6</v>
      </c>
    </row>
    <row r="131" spans="1:40" s="95" customFormat="1">
      <c r="A131" s="81"/>
      <c r="B131" s="81" t="s">
        <v>13</v>
      </c>
      <c r="C131" s="82" t="s">
        <v>252</v>
      </c>
      <c r="E131" s="99"/>
      <c r="F131" s="68"/>
      <c r="H131" s="99"/>
      <c r="I131" s="68"/>
      <c r="K131" s="99"/>
      <c r="L131" s="68"/>
      <c r="N131" s="99"/>
      <c r="O131" s="68"/>
      <c r="Q131" s="99"/>
      <c r="R131" s="79"/>
      <c r="S131" s="106"/>
      <c r="T131" s="99"/>
      <c r="U131" s="77"/>
      <c r="V131" s="108">
        <v>116.1</v>
      </c>
      <c r="W131" s="99">
        <f>44.44444444*1.17</f>
        <v>51.999999994799992</v>
      </c>
      <c r="X131" s="79"/>
      <c r="Y131" s="95">
        <v>230.5</v>
      </c>
      <c r="Z131" s="99">
        <f>44.44444444*1.17</f>
        <v>51.999999994799992</v>
      </c>
      <c r="AA131" s="68"/>
      <c r="AC131" s="99"/>
      <c r="AD131" s="68"/>
      <c r="AF131" s="99"/>
      <c r="AG131" s="68"/>
      <c r="AI131" s="99"/>
      <c r="AJ131" s="68"/>
      <c r="AL131" s="99"/>
      <c r="AM131" s="68"/>
      <c r="AN131" s="86">
        <f t="shared" si="3"/>
        <v>0</v>
      </c>
    </row>
    <row r="132" spans="1:40" s="95" customFormat="1">
      <c r="C132" s="82" t="s">
        <v>333</v>
      </c>
      <c r="E132" s="99"/>
      <c r="F132" s="68"/>
      <c r="H132" s="99"/>
      <c r="I132" s="68"/>
      <c r="K132" s="99"/>
      <c r="L132" s="68"/>
      <c r="N132" s="99"/>
      <c r="O132" s="68"/>
      <c r="Q132" s="105"/>
      <c r="R132" s="79"/>
      <c r="S132" s="106"/>
      <c r="T132" s="107"/>
      <c r="U132" s="77"/>
      <c r="V132" s="108"/>
      <c r="W132" s="99"/>
      <c r="X132" s="79"/>
      <c r="Z132" s="99"/>
      <c r="AA132" s="68"/>
      <c r="AC132" s="99"/>
      <c r="AD132" s="68"/>
      <c r="AF132" s="99"/>
      <c r="AG132" s="68"/>
      <c r="AI132" s="99"/>
      <c r="AJ132" s="68"/>
      <c r="AL132" s="99"/>
      <c r="AM132" s="68"/>
      <c r="AN132" s="86" t="e">
        <f>#REF!+#REF!+#REF!+#REF!+#REF!+#REF!+#REF!+#REF!+#REF!+#REF!+#REF!</f>
        <v>#REF!</v>
      </c>
    </row>
    <row r="133" spans="1:40">
      <c r="AN133" s="86">
        <f t="shared" ref="AN133:AN159" si="4">D134+G134+M134+P134+S134+V134+Y134+AB134+AE134+AH134+AK134</f>
        <v>0</v>
      </c>
    </row>
    <row r="134" spans="1:40" s="81" customFormat="1">
      <c r="A134" s="81" t="s">
        <v>15</v>
      </c>
      <c r="B134" s="81" t="s">
        <v>16</v>
      </c>
      <c r="C134" s="82" t="s">
        <v>17</v>
      </c>
      <c r="E134" s="83"/>
      <c r="F134" s="82"/>
      <c r="H134" s="83"/>
      <c r="I134" s="82"/>
      <c r="K134" s="83"/>
      <c r="L134" s="82"/>
      <c r="N134" s="83"/>
      <c r="O134" s="82"/>
      <c r="Q134" s="84"/>
      <c r="R134" s="85"/>
      <c r="S134" s="86"/>
      <c r="T134" s="87"/>
      <c r="U134" s="88"/>
      <c r="V134" s="89"/>
      <c r="W134" s="83"/>
      <c r="X134" s="85"/>
      <c r="Z134" s="83"/>
      <c r="AA134" s="82"/>
      <c r="AC134" s="83"/>
      <c r="AD134" s="82"/>
      <c r="AF134" s="83"/>
      <c r="AG134" s="82"/>
      <c r="AI134" s="83"/>
      <c r="AJ134" s="82"/>
      <c r="AL134" s="83"/>
      <c r="AM134" s="82"/>
      <c r="AN134" s="86">
        <f t="shared" si="4"/>
        <v>0</v>
      </c>
    </row>
    <row r="135" spans="1:40">
      <c r="B135" s="67" t="s">
        <v>16</v>
      </c>
      <c r="C135" s="68" t="s">
        <v>161</v>
      </c>
      <c r="AN135" s="86">
        <f t="shared" si="4"/>
        <v>0</v>
      </c>
    </row>
    <row r="136" spans="1:40">
      <c r="B136" s="67" t="s">
        <v>16</v>
      </c>
      <c r="C136" s="68" t="s">
        <v>34</v>
      </c>
      <c r="AN136" s="86">
        <f t="shared" si="4"/>
        <v>0</v>
      </c>
    </row>
    <row r="137" spans="1:40">
      <c r="B137" s="67" t="s">
        <v>16</v>
      </c>
      <c r="C137" s="68" t="s">
        <v>19</v>
      </c>
      <c r="J137" s="71"/>
      <c r="K137" s="72"/>
      <c r="L137" s="80"/>
      <c r="AN137" s="86">
        <f t="shared" si="4"/>
        <v>0</v>
      </c>
    </row>
    <row r="138" spans="1:40">
      <c r="B138" s="67" t="s">
        <v>16</v>
      </c>
      <c r="C138" s="68" t="s">
        <v>105</v>
      </c>
      <c r="AH138" s="71"/>
      <c r="AK138" s="71"/>
      <c r="AN138" s="86">
        <f t="shared" si="4"/>
        <v>78.5</v>
      </c>
    </row>
    <row r="139" spans="1:40">
      <c r="B139" s="67" t="s">
        <v>16</v>
      </c>
      <c r="C139" s="68" t="s">
        <v>282</v>
      </c>
      <c r="D139" s="67">
        <v>39.1</v>
      </c>
      <c r="E139" s="70">
        <f>27.35042735*1.17</f>
        <v>31.999999999499998</v>
      </c>
      <c r="AE139" s="67">
        <v>39.4</v>
      </c>
      <c r="AF139" s="70">
        <f>29.914529915*1.17</f>
        <v>35.000000000549996</v>
      </c>
      <c r="AN139" s="86">
        <f t="shared" si="4"/>
        <v>0</v>
      </c>
    </row>
    <row r="140" spans="1:40">
      <c r="B140" s="67" t="s">
        <v>16</v>
      </c>
      <c r="C140" s="68" t="s">
        <v>86</v>
      </c>
      <c r="AN140" s="86">
        <f t="shared" si="4"/>
        <v>0</v>
      </c>
    </row>
    <row r="141" spans="1:40">
      <c r="B141" s="67" t="s">
        <v>16</v>
      </c>
      <c r="C141" s="68" t="s">
        <v>57</v>
      </c>
      <c r="AN141" s="86">
        <f t="shared" si="4"/>
        <v>0</v>
      </c>
    </row>
    <row r="142" spans="1:40">
      <c r="B142" s="67" t="s">
        <v>20</v>
      </c>
      <c r="C142" s="68" t="s">
        <v>57</v>
      </c>
      <c r="AN142" s="86">
        <f t="shared" si="4"/>
        <v>0</v>
      </c>
    </row>
    <row r="143" spans="1:40">
      <c r="B143" s="67" t="s">
        <v>16</v>
      </c>
      <c r="C143" s="68" t="s">
        <v>85</v>
      </c>
      <c r="AN143" s="86">
        <f t="shared" si="4"/>
        <v>0</v>
      </c>
    </row>
    <row r="144" spans="1:40">
      <c r="B144" s="67" t="s">
        <v>20</v>
      </c>
      <c r="C144" s="68" t="s">
        <v>35</v>
      </c>
      <c r="AN144" s="86">
        <f t="shared" si="4"/>
        <v>869.7</v>
      </c>
    </row>
    <row r="145" spans="1:40">
      <c r="B145" s="67" t="s">
        <v>16</v>
      </c>
      <c r="C145" s="68" t="s">
        <v>35</v>
      </c>
      <c r="AE145" s="67">
        <v>479.1</v>
      </c>
      <c r="AF145" s="70">
        <f>29.914529915*1.17</f>
        <v>35.000000000549996</v>
      </c>
      <c r="AK145" s="67">
        <v>390.6</v>
      </c>
      <c r="AL145" s="70">
        <f>28.205128205*1.17</f>
        <v>32.999999999849997</v>
      </c>
      <c r="AN145" s="86">
        <f t="shared" si="4"/>
        <v>0</v>
      </c>
    </row>
    <row r="146" spans="1:40">
      <c r="B146" s="67" t="s">
        <v>20</v>
      </c>
      <c r="C146" s="68" t="s">
        <v>104</v>
      </c>
      <c r="AN146" s="86">
        <f t="shared" si="4"/>
        <v>308.7</v>
      </c>
    </row>
    <row r="147" spans="1:40">
      <c r="B147" s="67" t="s">
        <v>16</v>
      </c>
      <c r="C147" s="68" t="s">
        <v>104</v>
      </c>
      <c r="Y147" s="67">
        <v>308.7</v>
      </c>
      <c r="Z147" s="70">
        <f>29.05982906*1.17</f>
        <v>34.000000000199996</v>
      </c>
      <c r="AN147" s="86">
        <f>D151+G151+M151+P151+S151+V151+Y151+AB151+AE151+AH151+AK151</f>
        <v>0</v>
      </c>
    </row>
    <row r="148" spans="1:40">
      <c r="B148" s="67" t="s">
        <v>16</v>
      </c>
      <c r="C148" s="68" t="s">
        <v>369</v>
      </c>
      <c r="D148" s="67">
        <v>78.7</v>
      </c>
      <c r="E148" s="70">
        <f>27.35042735*1.17</f>
        <v>31.999999999499998</v>
      </c>
      <c r="AN148" s="86"/>
    </row>
    <row r="149" spans="1:40">
      <c r="B149" s="126" t="s">
        <v>370</v>
      </c>
      <c r="C149" s="68" t="s">
        <v>371</v>
      </c>
      <c r="D149" s="67">
        <v>78.400000000000006</v>
      </c>
      <c r="E149" s="70">
        <f>36.752136752*1.17</f>
        <v>42.999999999839993</v>
      </c>
      <c r="AN149" s="86"/>
    </row>
    <row r="150" spans="1:40">
      <c r="B150" s="126"/>
      <c r="C150" s="68" t="s">
        <v>372</v>
      </c>
      <c r="D150" s="67">
        <v>144</v>
      </c>
      <c r="E150" s="70">
        <f>1.452991453*1.17</f>
        <v>1.70000000001</v>
      </c>
      <c r="AN150" s="86"/>
    </row>
    <row r="151" spans="1:40">
      <c r="B151" s="67" t="s">
        <v>16</v>
      </c>
      <c r="C151" s="68" t="s">
        <v>186</v>
      </c>
      <c r="AN151" s="86">
        <f t="shared" si="4"/>
        <v>0</v>
      </c>
    </row>
    <row r="152" spans="1:40">
      <c r="B152" s="67" t="s">
        <v>16</v>
      </c>
      <c r="C152" s="68" t="s">
        <v>18</v>
      </c>
      <c r="AN152" s="86">
        <f t="shared" si="4"/>
        <v>0</v>
      </c>
    </row>
    <row r="153" spans="1:40">
      <c r="B153" s="67" t="s">
        <v>16</v>
      </c>
      <c r="C153" s="68" t="s">
        <v>229</v>
      </c>
      <c r="AN153" s="86">
        <f t="shared" si="4"/>
        <v>0</v>
      </c>
    </row>
    <row r="154" spans="1:40">
      <c r="B154" s="67" t="s">
        <v>20</v>
      </c>
      <c r="C154" s="68" t="s">
        <v>21</v>
      </c>
      <c r="AN154" s="86">
        <f t="shared" si="4"/>
        <v>0</v>
      </c>
    </row>
    <row r="155" spans="1:40">
      <c r="B155" s="67" t="s">
        <v>20</v>
      </c>
      <c r="C155" s="68" t="s">
        <v>58</v>
      </c>
      <c r="AN155" s="86">
        <f t="shared" si="4"/>
        <v>0</v>
      </c>
    </row>
    <row r="156" spans="1:40">
      <c r="B156" s="67" t="s">
        <v>16</v>
      </c>
      <c r="C156" s="68" t="s">
        <v>270</v>
      </c>
      <c r="V156" s="93">
        <v>0</v>
      </c>
      <c r="AN156" s="86">
        <f>D159+G159+M159+P159+S159+V159+Y159+AB159+AE159+AH159+AK159</f>
        <v>0</v>
      </c>
    </row>
    <row r="157" spans="1:40" s="109" customFormat="1">
      <c r="A157" s="109" t="s">
        <v>373</v>
      </c>
      <c r="B157" s="109" t="s">
        <v>374</v>
      </c>
      <c r="C157" s="109" t="s">
        <v>371</v>
      </c>
      <c r="D157" s="120">
        <v>79.540000000000006</v>
      </c>
      <c r="E157" s="111">
        <f>34.188034188*1.17</f>
        <v>39.999999999960004</v>
      </c>
      <c r="F157" s="110"/>
      <c r="H157" s="111"/>
      <c r="I157" s="110"/>
      <c r="K157" s="111"/>
      <c r="L157" s="110"/>
      <c r="N157" s="111"/>
      <c r="O157" s="110"/>
      <c r="Q157" s="113"/>
      <c r="R157" s="112"/>
      <c r="S157" s="114"/>
      <c r="T157" s="115"/>
      <c r="U157" s="116"/>
      <c r="V157" s="117"/>
      <c r="W157" s="111"/>
      <c r="X157" s="112"/>
      <c r="Z157" s="111"/>
      <c r="AA157" s="110"/>
      <c r="AC157" s="111"/>
      <c r="AD157" s="110"/>
      <c r="AF157" s="111"/>
      <c r="AG157" s="110"/>
      <c r="AI157" s="111"/>
      <c r="AJ157" s="110"/>
      <c r="AL157" s="111"/>
      <c r="AM157" s="110"/>
      <c r="AN157" s="86">
        <f t="shared" ref="AN157" si="5">D158+G158+M158+P158+S158+V158+Y158+AB158+AE158+AH158+AK158</f>
        <v>0</v>
      </c>
    </row>
    <row r="158" spans="1:40">
      <c r="AN158" s="86" t="e">
        <f>#REF!+#REF!+#REF!+#REF!+#REF!+#REF!+#REF!+#REF!+#REF!+#REF!+#REF!</f>
        <v>#REF!</v>
      </c>
    </row>
    <row r="159" spans="1:40" s="109" customFormat="1">
      <c r="C159" s="110"/>
      <c r="D159" s="120"/>
      <c r="E159" s="111"/>
      <c r="F159" s="110"/>
      <c r="H159" s="111"/>
      <c r="I159" s="110"/>
      <c r="K159" s="111"/>
      <c r="L159" s="110"/>
      <c r="N159" s="111"/>
      <c r="O159" s="110"/>
      <c r="Q159" s="113"/>
      <c r="R159" s="112"/>
      <c r="S159" s="114"/>
      <c r="T159" s="115"/>
      <c r="U159" s="116"/>
      <c r="V159" s="117"/>
      <c r="W159" s="111"/>
      <c r="X159" s="112"/>
      <c r="Z159" s="111"/>
      <c r="AA159" s="110"/>
      <c r="AC159" s="111"/>
      <c r="AD159" s="110"/>
      <c r="AF159" s="111"/>
      <c r="AG159" s="110"/>
      <c r="AI159" s="111"/>
      <c r="AJ159" s="110"/>
      <c r="AL159" s="111"/>
      <c r="AM159" s="110"/>
      <c r="AN159" s="86">
        <f t="shared" si="4"/>
        <v>0</v>
      </c>
    </row>
    <row r="160" spans="1:40">
      <c r="AN160" s="86" t="e">
        <f>#REF!+#REF!+#REF!+#REF!+#REF!+#REF!+#REF!+#REF!+#REF!+#REF!+#REF!</f>
        <v>#REF!</v>
      </c>
    </row>
    <row r="161" spans="1:40" s="81" customFormat="1">
      <c r="A161" s="81" t="s">
        <v>36</v>
      </c>
      <c r="B161" s="81" t="s">
        <v>13</v>
      </c>
      <c r="C161" s="82" t="s">
        <v>37</v>
      </c>
      <c r="E161" s="83"/>
      <c r="F161" s="82"/>
      <c r="H161" s="83"/>
      <c r="I161" s="82"/>
      <c r="K161" s="83"/>
      <c r="L161" s="82"/>
      <c r="N161" s="83"/>
      <c r="O161" s="82"/>
      <c r="Q161" s="84"/>
      <c r="R161" s="85"/>
      <c r="S161" s="86"/>
      <c r="T161" s="87"/>
      <c r="U161" s="88"/>
      <c r="V161" s="89"/>
      <c r="W161" s="83"/>
      <c r="X161" s="85"/>
      <c r="Z161" s="83"/>
      <c r="AA161" s="82"/>
      <c r="AC161" s="83"/>
      <c r="AD161" s="82"/>
      <c r="AF161" s="83"/>
      <c r="AG161" s="82"/>
      <c r="AI161" s="83"/>
      <c r="AJ161" s="82"/>
      <c r="AL161" s="83"/>
      <c r="AM161" s="82"/>
      <c r="AN161" s="86">
        <f t="shared" ref="AN161:AN218" si="6">D162+G162+M162+P162+S162+V162+Y162+AB162+AE162+AH162+AK162</f>
        <v>0</v>
      </c>
    </row>
    <row r="162" spans="1:40">
      <c r="C162" s="68" t="s">
        <v>55</v>
      </c>
      <c r="AN162" s="86">
        <f t="shared" si="6"/>
        <v>0</v>
      </c>
    </row>
    <row r="163" spans="1:40">
      <c r="C163" s="68" t="s">
        <v>60</v>
      </c>
      <c r="AN163" s="86">
        <f t="shared" si="6"/>
        <v>0</v>
      </c>
    </row>
    <row r="164" spans="1:40">
      <c r="C164" s="68" t="s">
        <v>78</v>
      </c>
      <c r="AN164" s="86">
        <f t="shared" si="6"/>
        <v>0</v>
      </c>
    </row>
    <row r="165" spans="1:40">
      <c r="D165" s="70"/>
      <c r="AN165" s="86">
        <f t="shared" si="6"/>
        <v>0</v>
      </c>
    </row>
    <row r="166" spans="1:40">
      <c r="A166" s="95" t="s">
        <v>62</v>
      </c>
      <c r="B166" s="67" t="s">
        <v>63</v>
      </c>
      <c r="C166" s="68" t="s">
        <v>355</v>
      </c>
      <c r="D166" s="70"/>
      <c r="Q166" s="70"/>
      <c r="AN166" s="86">
        <f t="shared" si="6"/>
        <v>0</v>
      </c>
    </row>
    <row r="167" spans="1:40">
      <c r="A167" s="95"/>
      <c r="B167" s="67" t="s">
        <v>63</v>
      </c>
      <c r="C167" s="68" t="s">
        <v>66</v>
      </c>
      <c r="AN167" s="86">
        <f t="shared" si="6"/>
        <v>0</v>
      </c>
    </row>
    <row r="168" spans="1:40">
      <c r="B168" s="67" t="s">
        <v>63</v>
      </c>
      <c r="C168" s="68" t="s">
        <v>65</v>
      </c>
      <c r="AN168" s="86">
        <f>D170+G170+M170+P170+S170+V170+Y170+AB170+AE170+AH170+AK170</f>
        <v>38.79</v>
      </c>
    </row>
    <row r="169" spans="1:40">
      <c r="B169" s="67" t="s">
        <v>63</v>
      </c>
      <c r="C169" s="68" t="s">
        <v>377</v>
      </c>
      <c r="D169" s="67">
        <v>358.2</v>
      </c>
      <c r="E169" s="70">
        <f>9.4017094017*1.17</f>
        <v>10.999999999988999</v>
      </c>
      <c r="AN169" s="86"/>
    </row>
    <row r="170" spans="1:40">
      <c r="B170" s="67" t="s">
        <v>63</v>
      </c>
      <c r="C170" s="68" t="s">
        <v>110</v>
      </c>
      <c r="Q170" s="70"/>
      <c r="Y170" s="67">
        <v>38.79</v>
      </c>
      <c r="Z170" s="70">
        <f>9.401701*1.17</f>
        <v>10.999990169999998</v>
      </c>
      <c r="AN170" s="86">
        <f t="shared" si="6"/>
        <v>116.1</v>
      </c>
    </row>
    <row r="171" spans="1:40">
      <c r="B171" s="67" t="s">
        <v>63</v>
      </c>
      <c r="C171" s="68" t="s">
        <v>260</v>
      </c>
      <c r="D171" s="67">
        <v>116.1</v>
      </c>
      <c r="E171" s="70">
        <f>9.4017094017*1.17</f>
        <v>10.999999999988999</v>
      </c>
      <c r="Q171" s="70"/>
      <c r="AN171" s="86">
        <f t="shared" si="6"/>
        <v>115.28</v>
      </c>
    </row>
    <row r="172" spans="1:40">
      <c r="B172" s="67" t="s">
        <v>63</v>
      </c>
      <c r="C172" s="68" t="s">
        <v>106</v>
      </c>
      <c r="Q172" s="70"/>
      <c r="Y172" s="67">
        <f>37.79+77.49</f>
        <v>115.28</v>
      </c>
      <c r="Z172" s="70">
        <f>9.401701*1.17</f>
        <v>10.999990169999998</v>
      </c>
      <c r="AN172" s="86">
        <f t="shared" si="6"/>
        <v>0</v>
      </c>
    </row>
    <row r="173" spans="1:40">
      <c r="B173" s="67" t="s">
        <v>63</v>
      </c>
      <c r="C173" s="68" t="s">
        <v>131</v>
      </c>
      <c r="AN173" s="86">
        <f t="shared" si="6"/>
        <v>0</v>
      </c>
    </row>
    <row r="174" spans="1:40">
      <c r="B174" s="67" t="s">
        <v>63</v>
      </c>
      <c r="C174" s="68" t="s">
        <v>268</v>
      </c>
      <c r="D174" s="94"/>
      <c r="AN174" s="86">
        <f t="shared" si="6"/>
        <v>0</v>
      </c>
    </row>
    <row r="175" spans="1:40">
      <c r="B175" s="67" t="s">
        <v>63</v>
      </c>
      <c r="C175" s="68" t="s">
        <v>128</v>
      </c>
      <c r="AN175" s="86">
        <f t="shared" si="6"/>
        <v>0</v>
      </c>
    </row>
    <row r="176" spans="1:40">
      <c r="B176" s="95" t="s">
        <v>63</v>
      </c>
      <c r="C176" s="68" t="s">
        <v>64</v>
      </c>
      <c r="D176" s="95"/>
      <c r="E176" s="99"/>
      <c r="G176" s="95"/>
      <c r="H176" s="99"/>
      <c r="J176" s="95"/>
      <c r="K176" s="99"/>
      <c r="M176" s="95"/>
      <c r="N176" s="99"/>
      <c r="P176" s="95"/>
      <c r="Q176" s="105"/>
      <c r="S176" s="106"/>
      <c r="T176" s="107"/>
      <c r="V176" s="108"/>
      <c r="W176" s="99"/>
      <c r="Y176" s="95"/>
      <c r="Z176" s="99"/>
      <c r="AB176" s="95"/>
      <c r="AC176" s="99"/>
      <c r="AE176" s="95"/>
      <c r="AF176" s="99"/>
      <c r="AH176" s="95"/>
      <c r="AI176" s="99"/>
      <c r="AK176" s="95"/>
      <c r="AL176" s="99"/>
      <c r="AN176" s="86">
        <f t="shared" si="6"/>
        <v>0</v>
      </c>
    </row>
    <row r="177" spans="1:40">
      <c r="B177" s="95" t="s">
        <v>63</v>
      </c>
      <c r="C177" s="68" t="s">
        <v>47</v>
      </c>
      <c r="D177" s="95"/>
      <c r="G177" s="95"/>
      <c r="H177" s="99"/>
      <c r="J177" s="95"/>
      <c r="K177" s="99"/>
      <c r="M177" s="95"/>
      <c r="N177" s="99"/>
      <c r="P177" s="95"/>
      <c r="Q177" s="105"/>
      <c r="S177" s="106"/>
      <c r="T177" s="107"/>
      <c r="V177" s="108"/>
      <c r="W177" s="99"/>
      <c r="Y177" s="95"/>
      <c r="Z177" s="99"/>
      <c r="AB177" s="95"/>
      <c r="AC177" s="99"/>
      <c r="AE177" s="95"/>
      <c r="AF177" s="99"/>
      <c r="AH177" s="95"/>
      <c r="AI177" s="99"/>
      <c r="AK177" s="95"/>
      <c r="AL177" s="99"/>
      <c r="AN177" s="86">
        <f t="shared" si="6"/>
        <v>0</v>
      </c>
    </row>
    <row r="178" spans="1:40">
      <c r="A178" s="95"/>
      <c r="B178" s="67" t="s">
        <v>63</v>
      </c>
      <c r="C178" s="68" t="s">
        <v>11</v>
      </c>
      <c r="AN178" s="86">
        <f t="shared" si="6"/>
        <v>0</v>
      </c>
    </row>
    <row r="179" spans="1:40">
      <c r="B179" s="67" t="s">
        <v>63</v>
      </c>
      <c r="C179" s="68" t="s">
        <v>89</v>
      </c>
      <c r="AN179" s="86">
        <f t="shared" si="6"/>
        <v>0</v>
      </c>
    </row>
    <row r="180" spans="1:40">
      <c r="B180" s="67" t="s">
        <v>63</v>
      </c>
      <c r="C180" s="68" t="s">
        <v>291</v>
      </c>
      <c r="D180" s="94"/>
      <c r="AN180" s="86">
        <f t="shared" si="6"/>
        <v>0</v>
      </c>
    </row>
    <row r="181" spans="1:40">
      <c r="B181" s="67" t="s">
        <v>63</v>
      </c>
      <c r="C181" s="68" t="s">
        <v>160</v>
      </c>
      <c r="D181" s="94"/>
      <c r="AN181" s="86">
        <f t="shared" si="6"/>
        <v>0</v>
      </c>
    </row>
    <row r="182" spans="1:40">
      <c r="B182" s="67" t="s">
        <v>63</v>
      </c>
      <c r="C182" s="68" t="s">
        <v>91</v>
      </c>
      <c r="AN182" s="86">
        <f t="shared" si="6"/>
        <v>0</v>
      </c>
    </row>
    <row r="183" spans="1:40" s="81" customFormat="1">
      <c r="A183" s="67"/>
      <c r="B183" s="81" t="s">
        <v>63</v>
      </c>
      <c r="C183" s="82" t="s">
        <v>309</v>
      </c>
      <c r="E183" s="70"/>
      <c r="F183" s="82"/>
      <c r="H183" s="83"/>
      <c r="I183" s="82"/>
      <c r="K183" s="83"/>
      <c r="L183" s="82"/>
      <c r="N183" s="83"/>
      <c r="O183" s="82"/>
      <c r="Q183" s="84"/>
      <c r="R183" s="85"/>
      <c r="S183" s="86"/>
      <c r="T183" s="87"/>
      <c r="U183" s="88"/>
      <c r="V183" s="89"/>
      <c r="W183" s="83"/>
      <c r="X183" s="85"/>
      <c r="Z183" s="83"/>
      <c r="AA183" s="82"/>
      <c r="AC183" s="83"/>
      <c r="AD183" s="82"/>
      <c r="AF183" s="83"/>
      <c r="AG183" s="82"/>
      <c r="AI183" s="83"/>
      <c r="AJ183" s="82"/>
      <c r="AL183" s="83"/>
      <c r="AM183" s="82"/>
      <c r="AN183" s="86">
        <f t="shared" si="6"/>
        <v>0</v>
      </c>
    </row>
    <row r="184" spans="1:40">
      <c r="B184" s="67" t="s">
        <v>63</v>
      </c>
      <c r="C184" s="68" t="s">
        <v>127</v>
      </c>
      <c r="AN184" s="86">
        <f t="shared" si="6"/>
        <v>0</v>
      </c>
    </row>
    <row r="185" spans="1:40">
      <c r="B185" s="67" t="s">
        <v>63</v>
      </c>
      <c r="C185" s="68" t="s">
        <v>82</v>
      </c>
      <c r="AN185" s="86">
        <f t="shared" si="6"/>
        <v>0</v>
      </c>
    </row>
    <row r="186" spans="1:40">
      <c r="A186" s="95"/>
      <c r="B186" s="95" t="s">
        <v>63</v>
      </c>
      <c r="C186" s="68" t="s">
        <v>68</v>
      </c>
      <c r="D186" s="95"/>
      <c r="E186" s="99"/>
      <c r="G186" s="95"/>
      <c r="H186" s="99"/>
      <c r="J186" s="95"/>
      <c r="K186" s="99"/>
      <c r="M186" s="95"/>
      <c r="N186" s="99"/>
      <c r="P186" s="95"/>
      <c r="Q186" s="105"/>
      <c r="S186" s="106"/>
      <c r="T186" s="107"/>
      <c r="V186" s="108"/>
      <c r="W186" s="99"/>
      <c r="Y186" s="95"/>
      <c r="Z186" s="99"/>
      <c r="AB186" s="95"/>
      <c r="AC186" s="99"/>
      <c r="AE186" s="95"/>
      <c r="AF186" s="99"/>
      <c r="AH186" s="95"/>
      <c r="AI186" s="99"/>
      <c r="AK186" s="95"/>
      <c r="AL186" s="99"/>
      <c r="AN186" s="86">
        <f t="shared" si="6"/>
        <v>0</v>
      </c>
    </row>
    <row r="187" spans="1:40">
      <c r="B187" s="67" t="s">
        <v>63</v>
      </c>
      <c r="C187" s="68" t="s">
        <v>67</v>
      </c>
      <c r="AN187" s="86">
        <f t="shared" si="6"/>
        <v>0</v>
      </c>
    </row>
    <row r="188" spans="1:40">
      <c r="AN188" s="86">
        <f t="shared" si="6"/>
        <v>0</v>
      </c>
    </row>
    <row r="189" spans="1:40">
      <c r="AN189" s="86">
        <f t="shared" si="6"/>
        <v>0</v>
      </c>
    </row>
    <row r="190" spans="1:40" s="81" customFormat="1">
      <c r="A190" s="81" t="s">
        <v>175</v>
      </c>
      <c r="B190" s="81" t="s">
        <v>176</v>
      </c>
      <c r="C190" s="82" t="s">
        <v>177</v>
      </c>
      <c r="E190" s="83"/>
      <c r="F190" s="82"/>
      <c r="H190" s="83"/>
      <c r="I190" s="82"/>
      <c r="K190" s="83"/>
      <c r="L190" s="82"/>
      <c r="N190" s="83"/>
      <c r="O190" s="82"/>
      <c r="Q190" s="84"/>
      <c r="R190" s="85"/>
      <c r="S190" s="86"/>
      <c r="T190" s="87"/>
      <c r="U190" s="88"/>
      <c r="V190" s="89"/>
      <c r="W190" s="83"/>
      <c r="X190" s="85"/>
      <c r="Z190" s="83"/>
      <c r="AA190" s="82"/>
      <c r="AC190" s="83"/>
      <c r="AD190" s="82"/>
      <c r="AF190" s="83"/>
      <c r="AG190" s="82"/>
      <c r="AI190" s="83"/>
      <c r="AJ190" s="82"/>
      <c r="AL190" s="83"/>
      <c r="AM190" s="82"/>
      <c r="AN190" s="86">
        <f t="shared" si="6"/>
        <v>42.8</v>
      </c>
    </row>
    <row r="191" spans="1:40" s="95" customFormat="1">
      <c r="B191" s="81" t="s">
        <v>363</v>
      </c>
      <c r="C191" s="68" t="s">
        <v>224</v>
      </c>
      <c r="E191" s="99"/>
      <c r="F191" s="68"/>
      <c r="H191" s="99"/>
      <c r="I191" s="68"/>
      <c r="K191" s="99"/>
      <c r="L191" s="68"/>
      <c r="N191" s="99"/>
      <c r="O191" s="68"/>
      <c r="Q191" s="105"/>
      <c r="R191" s="79"/>
      <c r="S191" s="106"/>
      <c r="T191" s="107"/>
      <c r="U191" s="77"/>
      <c r="V191" s="108"/>
      <c r="W191" s="99"/>
      <c r="X191" s="79"/>
      <c r="Z191" s="99"/>
      <c r="AA191" s="68"/>
      <c r="AC191" s="99"/>
      <c r="AD191" s="68"/>
      <c r="AE191" s="95">
        <v>42.8</v>
      </c>
      <c r="AF191" s="99">
        <f>100.85470085*1.17</f>
        <v>117.99999999449999</v>
      </c>
      <c r="AG191" s="68"/>
      <c r="AI191" s="99"/>
      <c r="AJ191" s="68"/>
      <c r="AL191" s="99"/>
      <c r="AM191" s="68"/>
      <c r="AN191" s="86">
        <f t="shared" si="6"/>
        <v>0</v>
      </c>
    </row>
    <row r="192" spans="1:40" s="95" customFormat="1">
      <c r="B192" s="81" t="s">
        <v>176</v>
      </c>
      <c r="C192" s="68" t="s">
        <v>322</v>
      </c>
      <c r="E192" s="99"/>
      <c r="F192" s="68"/>
      <c r="H192" s="99"/>
      <c r="I192" s="68"/>
      <c r="K192" s="99"/>
      <c r="L192" s="68"/>
      <c r="N192" s="99"/>
      <c r="O192" s="68"/>
      <c r="Q192" s="105"/>
      <c r="R192" s="79"/>
      <c r="S192" s="106"/>
      <c r="T192" s="107"/>
      <c r="U192" s="77"/>
      <c r="V192" s="108"/>
      <c r="W192" s="99"/>
      <c r="X192" s="79"/>
      <c r="Z192" s="99"/>
      <c r="AA192" s="68"/>
      <c r="AC192" s="99"/>
      <c r="AD192" s="68"/>
      <c r="AF192" s="99"/>
      <c r="AG192" s="68"/>
      <c r="AI192" s="99"/>
      <c r="AJ192" s="68"/>
      <c r="AL192" s="99"/>
      <c r="AM192" s="68"/>
      <c r="AN192" s="86">
        <f t="shared" si="6"/>
        <v>0</v>
      </c>
    </row>
    <row r="193" spans="2:40" s="95" customFormat="1">
      <c r="B193" s="71" t="s">
        <v>242</v>
      </c>
      <c r="C193" s="68" t="s">
        <v>308</v>
      </c>
      <c r="E193" s="99"/>
      <c r="F193" s="68"/>
      <c r="H193" s="99"/>
      <c r="I193" s="68"/>
      <c r="K193" s="99"/>
      <c r="L193" s="68"/>
      <c r="N193" s="99"/>
      <c r="O193" s="68"/>
      <c r="Q193" s="105"/>
      <c r="R193" s="79"/>
      <c r="S193" s="106"/>
      <c r="T193" s="107"/>
      <c r="U193" s="77"/>
      <c r="V193" s="108"/>
      <c r="W193" s="99"/>
      <c r="X193" s="79"/>
      <c r="Z193" s="99"/>
      <c r="AA193" s="68"/>
      <c r="AC193" s="99"/>
      <c r="AD193" s="68"/>
      <c r="AF193" s="99"/>
      <c r="AG193" s="68"/>
      <c r="AI193" s="99"/>
      <c r="AJ193" s="68"/>
      <c r="AL193" s="99"/>
      <c r="AM193" s="68"/>
      <c r="AN193" s="86">
        <f t="shared" si="6"/>
        <v>0</v>
      </c>
    </row>
    <row r="194" spans="2:40" s="95" customFormat="1">
      <c r="B194" s="71" t="s">
        <v>242</v>
      </c>
      <c r="C194" s="68" t="s">
        <v>290</v>
      </c>
      <c r="E194" s="99"/>
      <c r="F194" s="68"/>
      <c r="H194" s="99"/>
      <c r="I194" s="68"/>
      <c r="K194" s="99"/>
      <c r="L194" s="68"/>
      <c r="N194" s="99"/>
      <c r="O194" s="68"/>
      <c r="Q194" s="105"/>
      <c r="R194" s="79"/>
      <c r="S194" s="106"/>
      <c r="T194" s="107"/>
      <c r="U194" s="77"/>
      <c r="V194" s="108"/>
      <c r="W194" s="99"/>
      <c r="X194" s="79"/>
      <c r="Z194" s="99"/>
      <c r="AA194" s="68"/>
      <c r="AC194" s="99"/>
      <c r="AD194" s="68"/>
      <c r="AF194" s="99"/>
      <c r="AG194" s="68"/>
      <c r="AI194" s="99"/>
      <c r="AJ194" s="68"/>
      <c r="AL194" s="99"/>
      <c r="AM194" s="68"/>
      <c r="AN194" s="86">
        <f t="shared" si="6"/>
        <v>0</v>
      </c>
    </row>
    <row r="195" spans="2:40">
      <c r="B195" s="71" t="s">
        <v>242</v>
      </c>
      <c r="C195" s="68" t="s">
        <v>243</v>
      </c>
      <c r="AN195" s="86">
        <f t="shared" si="6"/>
        <v>0</v>
      </c>
    </row>
    <row r="196" spans="2:40">
      <c r="B196" s="71" t="s">
        <v>242</v>
      </c>
      <c r="C196" s="68" t="s">
        <v>307</v>
      </c>
      <c r="AN196" s="86">
        <f t="shared" si="6"/>
        <v>0</v>
      </c>
    </row>
    <row r="197" spans="2:40">
      <c r="B197" s="71" t="s">
        <v>242</v>
      </c>
      <c r="C197" s="68" t="s">
        <v>253</v>
      </c>
      <c r="AN197" s="86">
        <f t="shared" si="6"/>
        <v>18.8</v>
      </c>
    </row>
    <row r="198" spans="2:40">
      <c r="B198" s="71" t="s">
        <v>242</v>
      </c>
      <c r="C198" s="68" t="s">
        <v>359</v>
      </c>
      <c r="O198" s="95"/>
      <c r="V198" s="93">
        <v>18.8</v>
      </c>
      <c r="W198" s="70">
        <f>36.752136752*1.17</f>
        <v>42.999999999839993</v>
      </c>
      <c r="AN198" s="86">
        <f t="shared" si="6"/>
        <v>0</v>
      </c>
    </row>
    <row r="199" spans="2:40">
      <c r="B199" s="71" t="s">
        <v>304</v>
      </c>
      <c r="C199" s="68" t="s">
        <v>213</v>
      </c>
      <c r="O199" s="95"/>
      <c r="AN199" s="86">
        <f t="shared" si="6"/>
        <v>0</v>
      </c>
    </row>
    <row r="200" spans="2:40">
      <c r="B200" s="71" t="s">
        <v>304</v>
      </c>
      <c r="C200" s="68" t="s">
        <v>306</v>
      </c>
      <c r="O200" s="95"/>
      <c r="AN200" s="86">
        <f t="shared" si="6"/>
        <v>242.3</v>
      </c>
    </row>
    <row r="201" spans="2:40">
      <c r="B201" s="71" t="s">
        <v>304</v>
      </c>
      <c r="C201" s="68" t="s">
        <v>308</v>
      </c>
      <c r="O201" s="95"/>
      <c r="V201" s="93">
        <v>85.2</v>
      </c>
      <c r="W201" s="70">
        <f>36.752136752*1.17</f>
        <v>42.999999999839993</v>
      </c>
      <c r="AH201" s="67">
        <f>79+78.1</f>
        <v>157.1</v>
      </c>
      <c r="AI201" s="70">
        <f>36.752136752*1.17</f>
        <v>42.999999999839993</v>
      </c>
      <c r="AN201" s="86">
        <f t="shared" si="6"/>
        <v>0</v>
      </c>
    </row>
    <row r="202" spans="2:40">
      <c r="B202" s="71" t="s">
        <v>304</v>
      </c>
      <c r="C202" s="68" t="s">
        <v>312</v>
      </c>
      <c r="O202" s="95"/>
      <c r="AN202" s="86">
        <f t="shared" si="6"/>
        <v>0</v>
      </c>
    </row>
    <row r="203" spans="2:40">
      <c r="B203" s="71" t="s">
        <v>304</v>
      </c>
      <c r="C203" s="68" t="s">
        <v>93</v>
      </c>
      <c r="O203" s="95"/>
      <c r="AN203" s="86">
        <f t="shared" si="6"/>
        <v>0</v>
      </c>
    </row>
    <row r="204" spans="2:40">
      <c r="B204" s="71" t="s">
        <v>304</v>
      </c>
      <c r="C204" s="68" t="s">
        <v>360</v>
      </c>
      <c r="O204" s="95"/>
      <c r="AN204" s="86">
        <f t="shared" si="6"/>
        <v>19</v>
      </c>
    </row>
    <row r="205" spans="2:40">
      <c r="B205" s="71" t="s">
        <v>298</v>
      </c>
      <c r="C205" s="68" t="s">
        <v>300</v>
      </c>
      <c r="O205" s="95"/>
      <c r="V205" s="93">
        <v>19</v>
      </c>
      <c r="W205" s="70">
        <f>36.752136752*1.17</f>
        <v>42.999999999839993</v>
      </c>
      <c r="AN205" s="86">
        <f t="shared" si="6"/>
        <v>555.79999999999995</v>
      </c>
    </row>
    <row r="206" spans="2:40">
      <c r="B206" s="71" t="s">
        <v>314</v>
      </c>
      <c r="C206" s="68" t="s">
        <v>315</v>
      </c>
      <c r="O206" s="95"/>
      <c r="AB206" s="67">
        <v>158.1</v>
      </c>
      <c r="AC206" s="70">
        <f>7.6923076923*1.17</f>
        <v>8.9999999999909992</v>
      </c>
      <c r="AE206" s="67">
        <v>237.1</v>
      </c>
      <c r="AF206" s="70">
        <f>7.6923076923*1.17</f>
        <v>8.9999999999909992</v>
      </c>
      <c r="AK206" s="67">
        <v>160.6</v>
      </c>
      <c r="AL206" s="70">
        <f>7.6923076923*1.17</f>
        <v>8.9999999999909992</v>
      </c>
      <c r="AN206" s="86">
        <f t="shared" si="6"/>
        <v>0</v>
      </c>
    </row>
    <row r="207" spans="2:40">
      <c r="B207" s="71" t="s">
        <v>299</v>
      </c>
      <c r="C207" s="68" t="s">
        <v>301</v>
      </c>
      <c r="O207" s="95"/>
      <c r="AN207" s="86">
        <f t="shared" si="6"/>
        <v>622.6</v>
      </c>
    </row>
    <row r="208" spans="2:40">
      <c r="B208" s="71" t="s">
        <v>316</v>
      </c>
      <c r="C208" s="68" t="s">
        <v>317</v>
      </c>
      <c r="O208" s="95"/>
      <c r="AB208" s="67">
        <v>150.6</v>
      </c>
      <c r="AC208" s="70">
        <f>7.6923076923*1.17</f>
        <v>8.9999999999909992</v>
      </c>
      <c r="AE208" s="67">
        <v>242</v>
      </c>
      <c r="AF208" s="70">
        <f>7.6923076923*1.17</f>
        <v>8.9999999999909992</v>
      </c>
      <c r="AK208" s="67">
        <v>230</v>
      </c>
      <c r="AL208" s="70">
        <f>7.6923076923*1.17</f>
        <v>8.9999999999909992</v>
      </c>
      <c r="AN208" s="86">
        <f t="shared" si="6"/>
        <v>0</v>
      </c>
    </row>
    <row r="209" spans="1:40">
      <c r="B209" s="71" t="s">
        <v>316</v>
      </c>
      <c r="C209" s="68" t="s">
        <v>323</v>
      </c>
      <c r="O209" s="95"/>
      <c r="AN209" s="86">
        <f t="shared" si="6"/>
        <v>0</v>
      </c>
    </row>
    <row r="210" spans="1:40">
      <c r="B210" s="71" t="s">
        <v>304</v>
      </c>
      <c r="C210" s="68" t="s">
        <v>311</v>
      </c>
      <c r="O210" s="95"/>
      <c r="AN210" s="86">
        <f t="shared" si="6"/>
        <v>0</v>
      </c>
    </row>
    <row r="211" spans="1:40" s="81" customFormat="1">
      <c r="A211" s="81" t="s">
        <v>178</v>
      </c>
      <c r="B211" s="81" t="s">
        <v>179</v>
      </c>
      <c r="C211" s="82" t="s">
        <v>180</v>
      </c>
      <c r="E211" s="83"/>
      <c r="F211" s="82"/>
      <c r="H211" s="83"/>
      <c r="I211" s="82"/>
      <c r="K211" s="83"/>
      <c r="L211" s="82"/>
      <c r="N211" s="83"/>
      <c r="O211" s="95"/>
      <c r="Q211" s="84"/>
      <c r="R211" s="85"/>
      <c r="S211" s="86"/>
      <c r="T211" s="87"/>
      <c r="U211" s="88"/>
      <c r="V211" s="89"/>
      <c r="W211" s="83"/>
      <c r="X211" s="85"/>
      <c r="Z211" s="83"/>
      <c r="AA211" s="82"/>
      <c r="AC211" s="83"/>
      <c r="AD211" s="82"/>
      <c r="AF211" s="83"/>
      <c r="AG211" s="82"/>
      <c r="AI211" s="83"/>
      <c r="AJ211" s="82"/>
      <c r="AL211" s="83"/>
      <c r="AM211" s="82"/>
      <c r="AN211" s="86">
        <f t="shared" si="6"/>
        <v>0</v>
      </c>
    </row>
    <row r="212" spans="1:40">
      <c r="B212" s="67" t="s">
        <v>179</v>
      </c>
      <c r="C212" s="68" t="s">
        <v>181</v>
      </c>
      <c r="O212" s="95"/>
      <c r="AN212" s="86">
        <f t="shared" si="6"/>
        <v>705.2</v>
      </c>
    </row>
    <row r="213" spans="1:40">
      <c r="B213" s="67" t="s">
        <v>179</v>
      </c>
      <c r="C213" s="68" t="s">
        <v>182</v>
      </c>
      <c r="G213" s="67">
        <v>103.8</v>
      </c>
      <c r="H213" s="70">
        <f>98.290598291*1.17</f>
        <v>115.00000000046998</v>
      </c>
      <c r="O213" s="95"/>
      <c r="Y213" s="67">
        <f>68.1+27.2</f>
        <v>95.3</v>
      </c>
      <c r="Z213" s="70">
        <f>98.290598291*1.17</f>
        <v>115.00000000046998</v>
      </c>
      <c r="AB213" s="67">
        <v>89.4</v>
      </c>
      <c r="AC213" s="70">
        <f>98.290598291*1.17</f>
        <v>115.00000000046998</v>
      </c>
      <c r="AE213" s="67">
        <v>127.8</v>
      </c>
      <c r="AF213" s="70">
        <f>98.290598291*1.17</f>
        <v>115.00000000046998</v>
      </c>
      <c r="AH213" s="67">
        <v>132.6</v>
      </c>
      <c r="AI213" s="70">
        <f>98.290598291*1.17</f>
        <v>115.00000000046998</v>
      </c>
      <c r="AK213" s="67">
        <v>156.30000000000001</v>
      </c>
      <c r="AL213" s="70">
        <f>98.290598291*1.17</f>
        <v>115.00000000046998</v>
      </c>
      <c r="AN213" s="86">
        <f>D214+G214+M214+P214+S214+V214+Y214+AB214+AE214+AH214+AK214</f>
        <v>655.59999999999991</v>
      </c>
    </row>
    <row r="214" spans="1:40">
      <c r="B214" s="67" t="s">
        <v>179</v>
      </c>
      <c r="C214" s="68" t="s">
        <v>241</v>
      </c>
      <c r="Q214" s="70"/>
      <c r="T214" s="70"/>
      <c r="Y214" s="67">
        <f>137.6+57+8+106.9</f>
        <v>309.5</v>
      </c>
      <c r="Z214" s="70">
        <f>81.196581197*1.17</f>
        <v>95.00000000048999</v>
      </c>
      <c r="AE214" s="67">
        <v>105.7</v>
      </c>
      <c r="AF214" s="70">
        <f>81.196581197*1.17</f>
        <v>95.00000000048999</v>
      </c>
      <c r="AH214" s="67">
        <v>107.6</v>
      </c>
      <c r="AI214" s="70">
        <f>81.196581197*1.17</f>
        <v>95.00000000048999</v>
      </c>
      <c r="AK214" s="67">
        <v>132.80000000000001</v>
      </c>
      <c r="AL214" s="70">
        <f>81.196581197*1.17</f>
        <v>95.00000000048999</v>
      </c>
      <c r="AN214" s="86">
        <f>D215+G215+M215+P215+S215+V215+Y215+AB215+AE215+AH215+AK215</f>
        <v>0</v>
      </c>
    </row>
    <row r="215" spans="1:40">
      <c r="B215" s="67" t="s">
        <v>179</v>
      </c>
      <c r="C215" s="68" t="s">
        <v>357</v>
      </c>
      <c r="O215" s="95"/>
      <c r="AN215" s="86">
        <f t="shared" si="6"/>
        <v>0</v>
      </c>
    </row>
    <row r="216" spans="1:40">
      <c r="B216" s="67" t="s">
        <v>179</v>
      </c>
      <c r="C216" s="68" t="s">
        <v>185</v>
      </c>
      <c r="O216" s="95"/>
      <c r="AN216" s="86">
        <f t="shared" si="6"/>
        <v>0</v>
      </c>
    </row>
    <row r="217" spans="1:40">
      <c r="B217" s="67" t="s">
        <v>179</v>
      </c>
      <c r="C217" s="68" t="s">
        <v>240</v>
      </c>
      <c r="AN217" s="86">
        <f t="shared" si="6"/>
        <v>0</v>
      </c>
    </row>
    <row r="218" spans="1:40">
      <c r="B218" s="67" t="s">
        <v>179</v>
      </c>
      <c r="C218" s="68" t="s">
        <v>297</v>
      </c>
      <c r="AN218" s="86">
        <f t="shared" si="6"/>
        <v>0</v>
      </c>
    </row>
    <row r="219" spans="1:40">
      <c r="AN219" s="91" t="e">
        <f>SUM(AN3:AN218)</f>
        <v>#REF!</v>
      </c>
    </row>
  </sheetData>
  <mergeCells count="13">
    <mergeCell ref="AH1:AJ1"/>
    <mergeCell ref="AK1:AM1"/>
    <mergeCell ref="D1:F1"/>
    <mergeCell ref="G1:I1"/>
    <mergeCell ref="J1:L1"/>
    <mergeCell ref="M1:O1"/>
    <mergeCell ref="P1:R1"/>
    <mergeCell ref="S1:U1"/>
    <mergeCell ref="B149:B150"/>
    <mergeCell ref="V1:X1"/>
    <mergeCell ref="Y1:AA1"/>
    <mergeCell ref="AB1:AD1"/>
    <mergeCell ref="AE1:A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2017-08-26T01:10:40Z</dcterms:modified>
</cp:coreProperties>
</file>