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0920" activeTab="4"/>
  </bookViews>
  <sheets>
    <sheet name="2013" sheetId="1" r:id="rId1"/>
    <sheet name="2014" sheetId="2" r:id="rId2"/>
    <sheet name="2015" sheetId="3" r:id="rId3"/>
    <sheet name="2016" sheetId="4" r:id="rId4"/>
    <sheet name="2017" sheetId="5" r:id="rId5"/>
  </sheets>
  <calcPr calcId="125725"/>
</workbook>
</file>

<file path=xl/calcChain.xml><?xml version="1.0" encoding="utf-8"?>
<calcChain xmlns="http://schemas.openxmlformats.org/spreadsheetml/2006/main">
  <c r="S103" i="5"/>
  <c r="S102"/>
  <c r="M105"/>
  <c r="M103"/>
  <c r="M116"/>
  <c r="J103"/>
  <c r="H172"/>
  <c r="H10"/>
  <c r="H5"/>
  <c r="H34"/>
  <c r="H37"/>
  <c r="G33"/>
  <c r="H20"/>
  <c r="H19"/>
  <c r="H18"/>
  <c r="H17"/>
  <c r="H77"/>
  <c r="H80"/>
  <c r="H79"/>
  <c r="E71"/>
  <c r="E88"/>
  <c r="E63"/>
  <c r="E57"/>
  <c r="E56"/>
  <c r="E54"/>
  <c r="E162"/>
  <c r="E158"/>
  <c r="E149"/>
  <c r="E150"/>
  <c r="E103"/>
  <c r="D103"/>
  <c r="E122"/>
  <c r="E116"/>
  <c r="D14"/>
  <c r="E13"/>
  <c r="E14"/>
  <c r="E18"/>
  <c r="E17"/>
  <c r="E38"/>
  <c r="E37"/>
  <c r="D33"/>
  <c r="D34"/>
  <c r="E27"/>
  <c r="E26"/>
  <c r="E36"/>
  <c r="E35"/>
  <c r="E34"/>
  <c r="E33"/>
  <c r="E51"/>
  <c r="AL173"/>
  <c r="AL172"/>
  <c r="AI172"/>
  <c r="AF172"/>
  <c r="AC172"/>
  <c r="Z172"/>
  <c r="AC167"/>
  <c r="AI165"/>
  <c r="AF165"/>
  <c r="AC165"/>
  <c r="Z164"/>
  <c r="W164"/>
  <c r="AI162"/>
  <c r="AF162"/>
  <c r="Z162"/>
  <c r="W162"/>
  <c r="W161"/>
  <c r="AC159"/>
  <c r="AI158"/>
  <c r="AF158"/>
  <c r="AC158"/>
  <c r="Z158"/>
  <c r="W155"/>
  <c r="W154"/>
  <c r="AC150"/>
  <c r="Z150"/>
  <c r="W150"/>
  <c r="Z149"/>
  <c r="W149"/>
  <c r="AI20"/>
  <c r="AL19"/>
  <c r="AK19"/>
  <c r="AI19"/>
  <c r="AL18"/>
  <c r="AK18"/>
  <c r="AI18"/>
  <c r="AL17"/>
  <c r="AK17"/>
  <c r="AI17"/>
  <c r="AI131"/>
  <c r="AI121"/>
  <c r="AI116"/>
  <c r="AI110"/>
  <c r="AI105"/>
  <c r="AI103"/>
  <c r="AI99"/>
  <c r="AL88"/>
  <c r="AI88"/>
  <c r="AI81"/>
  <c r="AI79"/>
  <c r="AL77"/>
  <c r="AI77"/>
  <c r="AL69"/>
  <c r="AL67"/>
  <c r="AI58"/>
  <c r="AI57"/>
  <c r="AI56"/>
  <c r="AI55"/>
  <c r="AL37"/>
  <c r="AI39"/>
  <c r="AL35"/>
  <c r="AI35"/>
  <c r="AI38"/>
  <c r="AK34"/>
  <c r="AH34"/>
  <c r="AK33"/>
  <c r="AH33"/>
  <c r="AL36"/>
  <c r="AL27"/>
  <c r="AL26"/>
  <c r="AI14"/>
  <c r="AI13"/>
  <c r="AL11"/>
  <c r="AL7"/>
  <c r="AL5"/>
  <c r="AK5"/>
  <c r="AL28" i="4"/>
  <c r="AL25"/>
  <c r="AL72"/>
  <c r="AL70"/>
  <c r="AL92"/>
  <c r="AL82"/>
  <c r="AK153"/>
  <c r="AK152"/>
  <c r="AK151"/>
  <c r="AL153"/>
  <c r="AL152"/>
  <c r="AL151"/>
  <c r="AL184"/>
  <c r="AL183"/>
  <c r="AL18"/>
  <c r="AL12"/>
  <c r="AK12"/>
  <c r="AL14"/>
  <c r="AI58"/>
  <c r="AI61"/>
  <c r="AI60"/>
  <c r="AI59"/>
  <c r="AL35"/>
  <c r="AL41"/>
  <c r="AK38"/>
  <c r="AL44"/>
  <c r="AK37"/>
  <c r="AI114"/>
  <c r="AI107"/>
  <c r="AI109"/>
  <c r="AI135"/>
  <c r="AI103"/>
  <c r="AI125"/>
  <c r="AI120"/>
  <c r="AI20"/>
  <c r="AI21"/>
  <c r="AI154"/>
  <c r="AI153"/>
  <c r="AI152"/>
  <c r="AI151"/>
  <c r="AI84"/>
  <c r="AI85"/>
  <c r="AI82"/>
  <c r="AI92"/>
  <c r="AI173"/>
  <c r="AI169"/>
  <c r="AI176"/>
  <c r="AI42"/>
  <c r="AI41"/>
  <c r="AI40"/>
  <c r="AI39"/>
  <c r="AH38"/>
  <c r="AH37"/>
  <c r="AF60"/>
  <c r="AF59"/>
  <c r="AF58"/>
  <c r="AF61"/>
  <c r="AI183"/>
  <c r="AF44" l="1"/>
  <c r="AE38"/>
  <c r="AF183"/>
  <c r="AF18"/>
  <c r="AF14"/>
  <c r="AF92"/>
  <c r="AF82"/>
  <c r="AF21"/>
  <c r="AF28"/>
  <c r="AF25"/>
  <c r="AF153"/>
  <c r="AF151"/>
  <c r="AF121"/>
  <c r="AF114"/>
  <c r="AF111"/>
  <c r="AF107"/>
  <c r="AE107"/>
  <c r="AC161"/>
  <c r="AF173"/>
  <c r="AF169"/>
  <c r="AF176"/>
  <c r="AC28"/>
  <c r="AC25"/>
  <c r="AC153"/>
  <c r="AC151"/>
  <c r="AC64"/>
  <c r="AC60"/>
  <c r="AC59"/>
  <c r="W59"/>
  <c r="AC61"/>
  <c r="AC58"/>
  <c r="AC170"/>
  <c r="AC169"/>
  <c r="AC178"/>
  <c r="AC176"/>
  <c r="AC21"/>
  <c r="AC20"/>
  <c r="AC92"/>
  <c r="AC82"/>
  <c r="AC183"/>
  <c r="AC35"/>
  <c r="AC41"/>
  <c r="AC46"/>
  <c r="AB38"/>
  <c r="AC44"/>
  <c r="AB37"/>
  <c r="AC103"/>
  <c r="AC109"/>
  <c r="AB107"/>
  <c r="AC107"/>
  <c r="AC135"/>
  <c r="Z155"/>
  <c r="Z154"/>
  <c r="Z153"/>
  <c r="Z152"/>
  <c r="Z151"/>
  <c r="Z41"/>
  <c r="Z35"/>
  <c r="Z45"/>
  <c r="Y38"/>
  <c r="Z44"/>
  <c r="Y37"/>
  <c r="Z82"/>
  <c r="Z120"/>
  <c r="Z107"/>
  <c r="Z135"/>
  <c r="Z121"/>
  <c r="Z134"/>
  <c r="Z183"/>
  <c r="Z169" l="1"/>
  <c r="Z175"/>
  <c r="Z160"/>
  <c r="Z161"/>
  <c r="Z173"/>
  <c r="W60"/>
  <c r="W64"/>
  <c r="W58"/>
  <c r="W154"/>
  <c r="W153"/>
  <c r="W152"/>
  <c r="W151"/>
  <c r="V38"/>
  <c r="W44"/>
  <c r="V37"/>
  <c r="W43"/>
  <c r="W35"/>
  <c r="W38"/>
  <c r="W28"/>
  <c r="W25"/>
  <c r="V14"/>
  <c r="W14"/>
  <c r="W12"/>
  <c r="W82"/>
  <c r="W92"/>
  <c r="W104"/>
  <c r="W120"/>
  <c r="W135"/>
  <c r="W130"/>
  <c r="W107"/>
  <c r="W172" l="1"/>
  <c r="W166"/>
  <c r="W165"/>
  <c r="W175"/>
  <c r="W160"/>
  <c r="W161"/>
  <c r="W173"/>
  <c r="T41"/>
  <c r="T44"/>
  <c r="T40"/>
  <c r="S38"/>
  <c r="S37"/>
  <c r="T107"/>
  <c r="T114"/>
  <c r="T82"/>
  <c r="T77"/>
  <c r="T70"/>
  <c r="T73"/>
  <c r="T21"/>
  <c r="T28"/>
  <c r="T25"/>
  <c r="T153"/>
  <c r="T151"/>
  <c r="S55"/>
  <c r="T55"/>
  <c r="Q184"/>
  <c r="Q183"/>
  <c r="Q55"/>
  <c r="Q153"/>
  <c r="Q151"/>
  <c r="Q35"/>
  <c r="Q41"/>
  <c r="Q44"/>
  <c r="Q38"/>
  <c r="Q37"/>
  <c r="Q161"/>
  <c r="Q173"/>
  <c r="Q176"/>
  <c r="Q170"/>
  <c r="Q169"/>
  <c r="Q20"/>
  <c r="Q21"/>
  <c r="Q92"/>
  <c r="Q82"/>
  <c r="Q109"/>
  <c r="Q106"/>
  <c r="Q114"/>
  <c r="Q107"/>
  <c r="Q120"/>
  <c r="N144"/>
  <c r="N143"/>
  <c r="N141"/>
  <c r="N142"/>
  <c r="N171"/>
  <c r="N165"/>
  <c r="N178"/>
  <c r="N169"/>
  <c r="N176"/>
  <c r="N160"/>
  <c r="N164"/>
  <c r="N173"/>
  <c r="N156"/>
  <c r="N152"/>
  <c r="N151"/>
  <c r="N153"/>
  <c r="N83"/>
  <c r="N70"/>
  <c r="N84"/>
  <c r="N73"/>
  <c r="N82"/>
  <c r="N90"/>
  <c r="N103"/>
  <c r="N125"/>
  <c r="N120"/>
  <c r="N107"/>
  <c r="N21"/>
  <c r="N44"/>
  <c r="N38"/>
  <c r="M37"/>
  <c r="K111"/>
  <c r="K107"/>
  <c r="K103"/>
  <c r="H125"/>
  <c r="K82"/>
  <c r="K73"/>
  <c r="K70"/>
  <c r="K83"/>
  <c r="K20"/>
  <c r="K12"/>
  <c r="K28"/>
  <c r="K25"/>
  <c r="K58"/>
  <c r="K64"/>
  <c r="K65"/>
  <c r="K60"/>
  <c r="K59"/>
  <c r="K44"/>
  <c r="K41"/>
  <c r="K35"/>
  <c r="K38"/>
  <c r="J37"/>
  <c r="K153"/>
  <c r="K152"/>
  <c r="K151"/>
  <c r="K14" l="1"/>
  <c r="H121" l="1"/>
  <c r="H109"/>
  <c r="H82"/>
  <c r="H92"/>
  <c r="H73"/>
  <c r="H83"/>
  <c r="H169"/>
  <c r="H176"/>
  <c r="H161"/>
  <c r="H173"/>
  <c r="G38"/>
  <c r="H37"/>
  <c r="H153"/>
  <c r="E115"/>
  <c r="E112"/>
  <c r="E107"/>
  <c r="E120"/>
  <c r="E153"/>
  <c r="E152"/>
  <c r="E151"/>
  <c r="E64"/>
  <c r="E65"/>
  <c r="E60"/>
  <c r="E59"/>
  <c r="E58"/>
  <c r="D54"/>
  <c r="E54"/>
  <c r="D38"/>
  <c r="E44"/>
  <c r="D37"/>
  <c r="E25"/>
  <c r="E84" l="1"/>
  <c r="E85"/>
  <c r="E86"/>
  <c r="E70"/>
  <c r="E92"/>
  <c r="E82"/>
  <c r="E73"/>
  <c r="E26" l="1"/>
  <c r="E28"/>
  <c r="E169"/>
  <c r="F169" s="1"/>
  <c r="E176"/>
  <c r="F176" s="1"/>
  <c r="E161"/>
  <c r="E173"/>
  <c r="F173" s="1"/>
  <c r="E12"/>
  <c r="E7"/>
  <c r="E178"/>
  <c r="F178" s="1"/>
  <c r="F164"/>
  <c r="I152"/>
  <c r="I151"/>
  <c r="F83"/>
  <c r="I65"/>
  <c r="I64"/>
  <c r="I60"/>
  <c r="I59"/>
  <c r="I58"/>
  <c r="I57"/>
  <c r="F57"/>
  <c r="E41"/>
  <c r="E32"/>
  <c r="H6"/>
  <c r="I6" s="1"/>
  <c r="F6"/>
  <c r="H4"/>
  <c r="I4" s="1"/>
  <c r="F4"/>
  <c r="AM124" i="3"/>
  <c r="AM101"/>
  <c r="AM121"/>
  <c r="AM122"/>
  <c r="AM150"/>
  <c r="AM149"/>
  <c r="AM146"/>
  <c r="AM144"/>
  <c r="AM4"/>
  <c r="AM83"/>
  <c r="AM70"/>
  <c r="AM66"/>
  <c r="AM77"/>
  <c r="AM84"/>
  <c r="AM56"/>
  <c r="AM52"/>
  <c r="AM51"/>
  <c r="AM50"/>
  <c r="AM27"/>
  <c r="AL24"/>
  <c r="AM24"/>
  <c r="AM155"/>
  <c r="AM161"/>
  <c r="AM166"/>
  <c r="AL35"/>
  <c r="AM36"/>
  <c r="AM41"/>
  <c r="AL38"/>
  <c r="I157" i="4" l="1"/>
  <c r="L3"/>
  <c r="F68"/>
  <c r="F51"/>
  <c r="I68"/>
  <c r="AJ149" i="3" l="1"/>
  <c r="AJ146"/>
  <c r="AJ144"/>
  <c r="AJ36"/>
  <c r="AJ39"/>
  <c r="AJ35"/>
  <c r="AI38"/>
  <c r="AJ19"/>
  <c r="AJ136"/>
  <c r="AJ134"/>
  <c r="AJ133"/>
  <c r="AJ132"/>
  <c r="AI133"/>
  <c r="AJ96"/>
  <c r="AJ98"/>
  <c r="AJ99"/>
  <c r="AJ107"/>
  <c r="AJ114"/>
  <c r="AJ121"/>
  <c r="AJ122"/>
  <c r="AJ21"/>
  <c r="AJ80"/>
  <c r="AJ75"/>
  <c r="AJ74"/>
  <c r="AJ161"/>
  <c r="AJ166"/>
  <c r="AJ155"/>
  <c r="AJ154"/>
  <c r="AI164"/>
  <c r="AJ164"/>
  <c r="AJ181"/>
  <c r="AJ17"/>
  <c r="AJ4"/>
  <c r="AJ56"/>
  <c r="AJ53"/>
  <c r="AJ50"/>
  <c r="AJ52"/>
  <c r="AJ51"/>
  <c r="AG74"/>
  <c r="AG73"/>
  <c r="AG81"/>
  <c r="AG80"/>
  <c r="AG83"/>
  <c r="AG66"/>
  <c r="AG17" l="1"/>
  <c r="AG56"/>
  <c r="AG53"/>
  <c r="AG52"/>
  <c r="AG51"/>
  <c r="AG50"/>
  <c r="AG41"/>
  <c r="AG36"/>
  <c r="AG39"/>
  <c r="AF35"/>
  <c r="AG38"/>
  <c r="AG32"/>
  <c r="AG139"/>
  <c r="AG148"/>
  <c r="AG149"/>
  <c r="AG144"/>
  <c r="AG145"/>
  <c r="AG27"/>
  <c r="AG24"/>
  <c r="AG163"/>
  <c r="AG164"/>
  <c r="AG154"/>
  <c r="AG155"/>
  <c r="AG161"/>
  <c r="AG166"/>
  <c r="AG19"/>
  <c r="AG92"/>
  <c r="AG96"/>
  <c r="AG98"/>
  <c r="AG99"/>
  <c r="AG101"/>
  <c r="AG121"/>
  <c r="AG122"/>
  <c r="AD83"/>
  <c r="AD66"/>
  <c r="AD164"/>
  <c r="AD161"/>
  <c r="AD166"/>
  <c r="AD168"/>
  <c r="AD146"/>
  <c r="AD144"/>
  <c r="AD8"/>
  <c r="AD4"/>
  <c r="AA56"/>
  <c r="AA50"/>
  <c r="AD40"/>
  <c r="AD41"/>
  <c r="AC35"/>
  <c r="AD131"/>
  <c r="AD92"/>
  <c r="AD106"/>
  <c r="AD96"/>
  <c r="AD11"/>
  <c r="AA91"/>
  <c r="AA92"/>
  <c r="AA96"/>
  <c r="AA99"/>
  <c r="AA101"/>
  <c r="AA113"/>
  <c r="AA116"/>
  <c r="AA122"/>
  <c r="AA144"/>
  <c r="AA11"/>
  <c r="Z35"/>
  <c r="AA32"/>
  <c r="AA4" l="1"/>
  <c r="X99"/>
  <c r="X101"/>
  <c r="X116"/>
  <c r="X121"/>
  <c r="X122"/>
  <c r="X154"/>
  <c r="X161"/>
  <c r="X150"/>
  <c r="X146"/>
  <c r="X145"/>
  <c r="X144"/>
  <c r="U146"/>
  <c r="U145"/>
  <c r="U161"/>
  <c r="U155"/>
  <c r="U166"/>
  <c r="X68"/>
  <c r="X70"/>
  <c r="Y85"/>
  <c r="X86"/>
  <c r="Y86" s="1"/>
  <c r="X73"/>
  <c r="Y84"/>
  <c r="X84"/>
  <c r="W35"/>
  <c r="X32"/>
  <c r="U41" l="1"/>
  <c r="T35"/>
  <c r="U38"/>
  <c r="U56"/>
  <c r="U51"/>
  <c r="U24"/>
  <c r="U19"/>
  <c r="U176"/>
  <c r="U7"/>
  <c r="U6"/>
  <c r="U4"/>
  <c r="U12"/>
  <c r="U80"/>
  <c r="U74"/>
  <c r="U83"/>
  <c r="U99"/>
  <c r="U121"/>
  <c r="R99"/>
  <c r="S99" s="1"/>
  <c r="R101"/>
  <c r="S101" s="1"/>
  <c r="R145"/>
  <c r="S145" s="1"/>
  <c r="R146"/>
  <c r="S146" s="1"/>
  <c r="R144"/>
  <c r="S144" s="1"/>
  <c r="S38"/>
  <c r="R36"/>
  <c r="S36" s="1"/>
  <c r="Q38"/>
  <c r="Q35"/>
  <c r="S32"/>
  <c r="R33"/>
  <c r="S33" s="1"/>
  <c r="R39"/>
  <c r="S39" s="1"/>
  <c r="R157"/>
  <c r="S157" s="1"/>
  <c r="R164"/>
  <c r="S164" s="1"/>
  <c r="R158"/>
  <c r="S158" s="1"/>
  <c r="R139"/>
  <c r="S139" s="1"/>
  <c r="R74"/>
  <c r="S74" s="1"/>
  <c r="R80"/>
  <c r="S80" s="1"/>
  <c r="R70"/>
  <c r="S70" s="1"/>
  <c r="R83"/>
  <c r="S83" s="1"/>
  <c r="R81"/>
  <c r="S81" s="1"/>
  <c r="R68"/>
  <c r="S68" s="1"/>
  <c r="S54"/>
  <c r="S57"/>
  <c r="R58"/>
  <c r="S58" s="1"/>
  <c r="R56"/>
  <c r="S56" s="1"/>
  <c r="R53"/>
  <c r="S53" s="1"/>
  <c r="R52"/>
  <c r="S52" s="1"/>
  <c r="R51"/>
  <c r="S51" s="1"/>
  <c r="R49"/>
  <c r="S49" s="1"/>
  <c r="R29"/>
  <c r="S29" s="1"/>
  <c r="R28"/>
  <c r="S28" s="1"/>
  <c r="R27"/>
  <c r="S27" s="1"/>
  <c r="R24"/>
  <c r="S24" s="1"/>
  <c r="R19"/>
  <c r="S19" s="1"/>
  <c r="P83"/>
  <c r="P66"/>
  <c r="P84"/>
  <c r="O68"/>
  <c r="P68" s="1"/>
  <c r="P81"/>
  <c r="O49"/>
  <c r="P49" s="1"/>
  <c r="O50"/>
  <c r="P50" s="1"/>
  <c r="O4"/>
  <c r="P4" s="1"/>
  <c r="M139"/>
  <c r="O139"/>
  <c r="P139" s="1"/>
  <c r="O19"/>
  <c r="P19" s="1"/>
  <c r="P176"/>
  <c r="O36"/>
  <c r="P36" s="1"/>
  <c r="O39"/>
  <c r="P39" s="1"/>
  <c r="P38"/>
  <c r="N38"/>
  <c r="O35"/>
  <c r="P35" s="1"/>
  <c r="O149"/>
  <c r="P149" s="1"/>
  <c r="O148"/>
  <c r="P148" s="1"/>
  <c r="O146"/>
  <c r="P146" s="1"/>
  <c r="O145"/>
  <c r="P145" s="1"/>
  <c r="O144"/>
  <c r="N144"/>
  <c r="O106"/>
  <c r="P106" s="1"/>
  <c r="O99"/>
  <c r="P99" s="1"/>
  <c r="O98"/>
  <c r="P98" s="1"/>
  <c r="O161"/>
  <c r="P161" s="1"/>
  <c r="O168"/>
  <c r="P168" s="1"/>
  <c r="O164"/>
  <c r="P164" s="1"/>
  <c r="S89" l="1"/>
  <c r="P43"/>
  <c r="S171"/>
  <c r="P60"/>
  <c r="S43"/>
  <c r="P144"/>
  <c r="P151" s="1"/>
  <c r="P89"/>
  <c r="P171"/>
  <c r="S151"/>
  <c r="S125"/>
  <c r="S60"/>
  <c r="P125"/>
  <c r="P133"/>
  <c r="P134"/>
  <c r="P135"/>
  <c r="P136"/>
  <c r="P131"/>
  <c r="O132"/>
  <c r="P132" s="1"/>
  <c r="L155"/>
  <c r="M155" s="1"/>
  <c r="L166"/>
  <c r="M166" s="1"/>
  <c r="L161"/>
  <c r="M161" s="1"/>
  <c r="L168"/>
  <c r="M168" s="1"/>
  <c r="L164"/>
  <c r="M164" s="1"/>
  <c r="I139"/>
  <c r="J139" s="1"/>
  <c r="L66"/>
  <c r="M66" s="1"/>
  <c r="L83"/>
  <c r="M83" s="1"/>
  <c r="I69"/>
  <c r="J69" s="1"/>
  <c r="I83"/>
  <c r="J83" s="1"/>
  <c r="I86"/>
  <c r="J86" s="1"/>
  <c r="I4"/>
  <c r="J4" s="1"/>
  <c r="K122"/>
  <c r="K121"/>
  <c r="K99"/>
  <c r="L122"/>
  <c r="L121"/>
  <c r="L107"/>
  <c r="M107" s="1"/>
  <c r="L101"/>
  <c r="M101" s="1"/>
  <c r="L99"/>
  <c r="L92"/>
  <c r="M92" s="1"/>
  <c r="M145"/>
  <c r="L144"/>
  <c r="M144" s="1"/>
  <c r="L19"/>
  <c r="M19" s="1"/>
  <c r="M38"/>
  <c r="K38"/>
  <c r="M35"/>
  <c r="L39"/>
  <c r="M39" s="1"/>
  <c r="J35"/>
  <c r="H35"/>
  <c r="J33"/>
  <c r="I38"/>
  <c r="J38" s="1"/>
  <c r="I32"/>
  <c r="J32" s="1"/>
  <c r="L54"/>
  <c r="M54" s="1"/>
  <c r="L50"/>
  <c r="M50" s="1"/>
  <c r="M49"/>
  <c r="K49"/>
  <c r="I57"/>
  <c r="J57" s="1"/>
  <c r="I56"/>
  <c r="J56" s="1"/>
  <c r="I52"/>
  <c r="J52" s="1"/>
  <c r="I51"/>
  <c r="J51" s="1"/>
  <c r="I50"/>
  <c r="J50" s="1"/>
  <c r="I49"/>
  <c r="J49" s="1"/>
  <c r="M27"/>
  <c r="L24"/>
  <c r="M24" s="1"/>
  <c r="J146"/>
  <c r="J145"/>
  <c r="I144"/>
  <c r="J144" s="1"/>
  <c r="I6"/>
  <c r="J6" s="1"/>
  <c r="G35"/>
  <c r="D35"/>
  <c r="F32"/>
  <c r="G32" s="1"/>
  <c r="F36"/>
  <c r="F41"/>
  <c r="G41" s="1"/>
  <c r="G39"/>
  <c r="G38"/>
  <c r="D38"/>
  <c r="F4"/>
  <c r="G4" s="1"/>
  <c r="F84"/>
  <c r="G84" s="1"/>
  <c r="F122"/>
  <c r="G122" s="1"/>
  <c r="F106"/>
  <c r="G106" s="1"/>
  <c r="G146"/>
  <c r="F144"/>
  <c r="G144" s="1"/>
  <c r="M151" l="1"/>
  <c r="M99"/>
  <c r="M122"/>
  <c r="G151"/>
  <c r="J151"/>
  <c r="M3"/>
  <c r="J43"/>
  <c r="M171"/>
  <c r="J60"/>
  <c r="M43"/>
  <c r="J89"/>
  <c r="G125"/>
  <c r="P138"/>
  <c r="G43"/>
  <c r="M60"/>
  <c r="M121"/>
  <c r="G50"/>
  <c r="F49"/>
  <c r="G49" s="1"/>
  <c r="F6"/>
  <c r="G6" s="1"/>
  <c r="F168"/>
  <c r="G168" s="1"/>
  <c r="F166"/>
  <c r="G166" s="1"/>
  <c r="F164"/>
  <c r="G164" s="1"/>
  <c r="F161"/>
  <c r="D161"/>
  <c r="F158"/>
  <c r="G158" s="1"/>
  <c r="AJ163" i="2"/>
  <c r="AK163" s="1"/>
  <c r="AH163"/>
  <c r="AF163"/>
  <c r="AJ162"/>
  <c r="AK162" s="1"/>
  <c r="AH162"/>
  <c r="AH165" s="1"/>
  <c r="AG162"/>
  <c r="AF162"/>
  <c r="AG160"/>
  <c r="AH160" s="1"/>
  <c r="AH159"/>
  <c r="AG159"/>
  <c r="M158"/>
  <c r="M159" s="1"/>
  <c r="L158"/>
  <c r="AM157"/>
  <c r="AN157" s="1"/>
  <c r="O157"/>
  <c r="P157" s="1"/>
  <c r="M157"/>
  <c r="L157"/>
  <c r="AA152"/>
  <c r="AB152" s="1"/>
  <c r="AM151"/>
  <c r="AN151" s="1"/>
  <c r="X151"/>
  <c r="Y151" s="1"/>
  <c r="P151"/>
  <c r="O151"/>
  <c r="X150"/>
  <c r="Y150" s="1"/>
  <c r="AN149"/>
  <c r="AM149"/>
  <c r="AG149"/>
  <c r="AH149" s="1"/>
  <c r="P149"/>
  <c r="O149"/>
  <c r="AH148"/>
  <c r="AM147"/>
  <c r="AN147" s="1"/>
  <c r="AH147"/>
  <c r="AG147"/>
  <c r="AD147"/>
  <c r="AE147" s="1"/>
  <c r="Y147"/>
  <c r="X147"/>
  <c r="G147"/>
  <c r="F147"/>
  <c r="AH146"/>
  <c r="P146"/>
  <c r="AM145"/>
  <c r="AN145" s="1"/>
  <c r="AG145"/>
  <c r="AH145" s="1"/>
  <c r="X145"/>
  <c r="Y145" s="1"/>
  <c r="O145"/>
  <c r="P145" s="1"/>
  <c r="AH144"/>
  <c r="F144"/>
  <c r="AH143"/>
  <c r="AH142"/>
  <c r="AM141"/>
  <c r="AN141" s="1"/>
  <c r="AH141"/>
  <c r="AG141"/>
  <c r="AD141"/>
  <c r="O141"/>
  <c r="AN140"/>
  <c r="AM140"/>
  <c r="AG140"/>
  <c r="AH140" s="1"/>
  <c r="AH154" s="1"/>
  <c r="Y140"/>
  <c r="X140"/>
  <c r="O140"/>
  <c r="P140" s="1"/>
  <c r="P141" l="1"/>
  <c r="P153" s="1"/>
  <c r="G153" s="1"/>
  <c r="Y154"/>
  <c r="M125" i="3"/>
  <c r="G161"/>
  <c r="G171" s="1"/>
  <c r="G60"/>
  <c r="AN154" i="2"/>
  <c r="AE141"/>
  <c r="AE154" s="1"/>
  <c r="AM135"/>
  <c r="AN135" s="1"/>
  <c r="AJ135"/>
  <c r="AK135" s="1"/>
  <c r="AD135"/>
  <c r="AE135" s="1"/>
  <c r="M135"/>
  <c r="M134"/>
  <c r="M133"/>
  <c r="L133"/>
  <c r="AN132"/>
  <c r="AK132" s="1"/>
  <c r="AI132"/>
  <c r="AG132"/>
  <c r="AH132" s="1"/>
  <c r="AE132"/>
  <c r="AC132"/>
  <c r="AA132"/>
  <c r="AB132" s="1"/>
  <c r="X132"/>
  <c r="Y132" s="1"/>
  <c r="V132"/>
  <c r="S132"/>
  <c r="O132"/>
  <c r="P132" s="1"/>
  <c r="M132"/>
  <c r="G132"/>
  <c r="F132"/>
  <c r="AN131"/>
  <c r="AK131" s="1"/>
  <c r="AI131"/>
  <c r="V131"/>
  <c r="R131"/>
  <c r="S131" s="1"/>
  <c r="O131"/>
  <c r="P131" s="1"/>
  <c r="M131"/>
  <c r="AN130"/>
  <c r="AJ130"/>
  <c r="AI130"/>
  <c r="AD130"/>
  <c r="AC130"/>
  <c r="AE130" s="1"/>
  <c r="AB130"/>
  <c r="AA130"/>
  <c r="X130"/>
  <c r="Y130" s="1"/>
  <c r="U130"/>
  <c r="V130" s="1"/>
  <c r="V136" s="1"/>
  <c r="R130"/>
  <c r="S130" s="1"/>
  <c r="O130"/>
  <c r="P130" s="1"/>
  <c r="P136" s="1"/>
  <c r="M136" s="1"/>
  <c r="M130"/>
  <c r="L130"/>
  <c r="G130"/>
  <c r="G136" s="1"/>
  <c r="F130"/>
  <c r="AE136" l="1"/>
  <c r="Y136"/>
  <c r="S136"/>
  <c r="AK130"/>
  <c r="AK137" s="1"/>
  <c r="AB136"/>
  <c r="AN137"/>
  <c r="AD128"/>
  <c r="R128"/>
  <c r="F128"/>
  <c r="AM125"/>
  <c r="AN125" s="1"/>
  <c r="AG125" l="1"/>
  <c r="AH125" s="1"/>
  <c r="AA125"/>
  <c r="AB125" s="1"/>
  <c r="O125"/>
  <c r="P125" s="1"/>
  <c r="L125"/>
  <c r="I125"/>
  <c r="G125"/>
  <c r="F125"/>
  <c r="D125"/>
  <c r="AN121"/>
  <c r="AL120"/>
  <c r="AN120" s="1"/>
  <c r="AE120"/>
  <c r="AM119"/>
  <c r="AL119"/>
  <c r="AN119" s="1"/>
  <c r="AD119"/>
  <c r="AE119" s="1"/>
  <c r="AE117"/>
  <c r="V117"/>
  <c r="AE116"/>
  <c r="V116"/>
  <c r="G116"/>
  <c r="AE115"/>
  <c r="AC115"/>
  <c r="T115"/>
  <c r="V115" s="1"/>
  <c r="G115"/>
  <c r="D115"/>
  <c r="AD114"/>
  <c r="AC114"/>
  <c r="AE114" s="1"/>
  <c r="V114"/>
  <c r="U114"/>
  <c r="T114"/>
  <c r="G114"/>
  <c r="F114"/>
  <c r="D114"/>
  <c r="V124" l="1"/>
  <c r="AE124"/>
  <c r="AN123"/>
  <c r="N112"/>
  <c r="AJ102"/>
  <c r="AK102" s="1"/>
  <c r="AA102"/>
  <c r="AB102" s="1"/>
  <c r="Y102"/>
  <c r="X102"/>
  <c r="AM87"/>
  <c r="AN87" s="1"/>
  <c r="P87"/>
  <c r="O87"/>
  <c r="M87"/>
  <c r="L87"/>
  <c r="J87"/>
  <c r="I87"/>
  <c r="AM86"/>
  <c r="AN86" s="1"/>
  <c r="AN112" s="1"/>
  <c r="AH86"/>
  <c r="AG86"/>
  <c r="AA86"/>
  <c r="AB86" s="1"/>
  <c r="Y86"/>
  <c r="X86"/>
  <c r="R86"/>
  <c r="S86" s="1"/>
  <c r="P86"/>
  <c r="P112" s="1"/>
  <c r="O112" s="1"/>
  <c r="O86"/>
  <c r="M86"/>
  <c r="L86"/>
  <c r="J86"/>
  <c r="I86"/>
  <c r="G86"/>
  <c r="F86"/>
  <c r="AK84"/>
  <c r="AJ84"/>
  <c r="AD84"/>
  <c r="AE84" s="1"/>
  <c r="AK79"/>
  <c r="AJ79"/>
  <c r="AG79"/>
  <c r="AH79" s="1"/>
  <c r="AE79"/>
  <c r="AD79"/>
  <c r="AA79"/>
  <c r="AB79" s="1"/>
  <c r="M79"/>
  <c r="L79"/>
  <c r="G79"/>
  <c r="G112" s="1"/>
  <c r="F79"/>
  <c r="AK78"/>
  <c r="AJ78"/>
  <c r="AG78"/>
  <c r="AH78" s="1"/>
  <c r="AB78"/>
  <c r="AA78"/>
  <c r="X78"/>
  <c r="Y78" s="1"/>
  <c r="Y112" s="1"/>
  <c r="V78"/>
  <c r="U78"/>
  <c r="R78"/>
  <c r="S78" s="1"/>
  <c r="S112" s="1"/>
  <c r="M78"/>
  <c r="L78"/>
  <c r="J78"/>
  <c r="I78"/>
  <c r="I74"/>
  <c r="AM72"/>
  <c r="AN72" s="1"/>
  <c r="AD72"/>
  <c r="AE72" s="1"/>
  <c r="AA72"/>
  <c r="AB72" s="1"/>
  <c r="X72"/>
  <c r="Y72" s="1"/>
  <c r="R72"/>
  <c r="S72" s="1"/>
  <c r="S77" s="1"/>
  <c r="AH71"/>
  <c r="AG71"/>
  <c r="AA71"/>
  <c r="AB71" s="1"/>
  <c r="V71"/>
  <c r="U71"/>
  <c r="R71"/>
  <c r="O71"/>
  <c r="P71" s="1"/>
  <c r="AB70"/>
  <c r="AA70"/>
  <c r="AM69"/>
  <c r="AN69" s="1"/>
  <c r="AH69"/>
  <c r="AG69"/>
  <c r="X69"/>
  <c r="Y69" s="1"/>
  <c r="AH64"/>
  <c r="AG64"/>
  <c r="AG60"/>
  <c r="AH60" s="1"/>
  <c r="AH77" s="1"/>
  <c r="Y60"/>
  <c r="X60"/>
  <c r="O60"/>
  <c r="P60" s="1"/>
  <c r="P77" s="1"/>
  <c r="AN59"/>
  <c r="AM59"/>
  <c r="AA59"/>
  <c r="AB59" s="1"/>
  <c r="P59"/>
  <c r="O59"/>
  <c r="F59"/>
  <c r="AN57"/>
  <c r="AM57"/>
  <c r="AJ57"/>
  <c r="AK57" s="1"/>
  <c r="AD57"/>
  <c r="AE57" s="1"/>
  <c r="AE77" s="1"/>
  <c r="AA57"/>
  <c r="AB57" s="1"/>
  <c r="X57"/>
  <c r="Y57" s="1"/>
  <c r="U57"/>
  <c r="V57" s="1"/>
  <c r="V77" s="1"/>
  <c r="M112" l="1"/>
  <c r="J112" s="1"/>
  <c r="AB112"/>
  <c r="AK112"/>
  <c r="AE112"/>
  <c r="AB77"/>
  <c r="Y77" s="1"/>
  <c r="AH112"/>
  <c r="AN77"/>
  <c r="AK49"/>
  <c r="AJ49"/>
  <c r="AH49"/>
  <c r="AA49"/>
  <c r="AB49" s="1"/>
  <c r="X49"/>
  <c r="Y49" s="1"/>
  <c r="O49"/>
  <c r="P49" s="1"/>
  <c r="G49"/>
  <c r="F49"/>
  <c r="AM48"/>
  <c r="AN48" s="1"/>
  <c r="AK48"/>
  <c r="AJ48"/>
  <c r="AG48"/>
  <c r="AH48" s="1"/>
  <c r="AB48"/>
  <c r="AA48"/>
  <c r="O48"/>
  <c r="P48" s="1"/>
  <c r="M48"/>
  <c r="L48"/>
  <c r="AH47"/>
  <c r="P47"/>
  <c r="M47"/>
  <c r="L47"/>
  <c r="AM46"/>
  <c r="AN46" s="1"/>
  <c r="AK46"/>
  <c r="AJ46"/>
  <c r="AG46"/>
  <c r="AH46" s="1"/>
  <c r="AB46"/>
  <c r="AA46"/>
  <c r="X46"/>
  <c r="Y46" s="1"/>
  <c r="V46"/>
  <c r="U46"/>
  <c r="O46"/>
  <c r="P46" s="1"/>
  <c r="M46"/>
  <c r="L46"/>
  <c r="G46"/>
  <c r="F46"/>
  <c r="AN45"/>
  <c r="AM45"/>
  <c r="AJ45"/>
  <c r="AK45" s="1"/>
  <c r="AH45"/>
  <c r="AG45"/>
  <c r="AA45"/>
  <c r="AB45" s="1"/>
  <c r="Y45"/>
  <c r="X45"/>
  <c r="U45"/>
  <c r="V45" s="1"/>
  <c r="P45"/>
  <c r="O45"/>
  <c r="M45"/>
  <c r="L45"/>
  <c r="G45"/>
  <c r="F45"/>
  <c r="AN44"/>
  <c r="AK44"/>
  <c r="AH44"/>
  <c r="AE44"/>
  <c r="X44"/>
  <c r="Y44" s="1"/>
  <c r="V44"/>
  <c r="U44"/>
  <c r="S44"/>
  <c r="P44"/>
  <c r="O44"/>
  <c r="J44"/>
  <c r="AM43"/>
  <c r="AN43" s="1"/>
  <c r="AK43"/>
  <c r="AJ43"/>
  <c r="AG43"/>
  <c r="AH43" s="1"/>
  <c r="AH50" s="1"/>
  <c r="AE43"/>
  <c r="AE50" s="1"/>
  <c r="AA43"/>
  <c r="AB43" s="1"/>
  <c r="X43"/>
  <c r="Y43" s="1"/>
  <c r="U43"/>
  <c r="V43" s="1"/>
  <c r="R43"/>
  <c r="S43" s="1"/>
  <c r="S50" s="1"/>
  <c r="O43"/>
  <c r="P43" s="1"/>
  <c r="M43"/>
  <c r="L43"/>
  <c r="J43"/>
  <c r="I43"/>
  <c r="G43"/>
  <c r="F43"/>
  <c r="F38"/>
  <c r="V36"/>
  <c r="U36"/>
  <c r="G36"/>
  <c r="Y33"/>
  <c r="Y37" s="1"/>
  <c r="X33"/>
  <c r="U33"/>
  <c r="V33" s="1"/>
  <c r="AD32"/>
  <c r="AE32" s="1"/>
  <c r="U32"/>
  <c r="V32" s="1"/>
  <c r="V37" s="1"/>
  <c r="L31"/>
  <c r="AG28"/>
  <c r="AH28" s="1"/>
  <c r="AE28"/>
  <c r="AD28"/>
  <c r="R28"/>
  <c r="S28" s="1"/>
  <c r="G28"/>
  <c r="F28"/>
  <c r="AH27"/>
  <c r="AE27"/>
  <c r="V27"/>
  <c r="U27"/>
  <c r="AN26"/>
  <c r="AK26"/>
  <c r="AH26"/>
  <c r="AD26"/>
  <c r="AE26" s="1"/>
  <c r="S26"/>
  <c r="P26"/>
  <c r="J26"/>
  <c r="I26"/>
  <c r="G26"/>
  <c r="F26"/>
  <c r="AM25"/>
  <c r="AN25" s="1"/>
  <c r="AJ25"/>
  <c r="AK25" s="1"/>
  <c r="AH25"/>
  <c r="AE25"/>
  <c r="AD25"/>
  <c r="R25"/>
  <c r="S25" s="1"/>
  <c r="P25"/>
  <c r="O25"/>
  <c r="J25"/>
  <c r="I25"/>
  <c r="G25"/>
  <c r="F25"/>
  <c r="AH24"/>
  <c r="AE24"/>
  <c r="S24"/>
  <c r="P24"/>
  <c r="AG23"/>
  <c r="AH23" s="1"/>
  <c r="AE23"/>
  <c r="X23"/>
  <c r="S23"/>
  <c r="O23"/>
  <c r="P23" s="1"/>
  <c r="AN22"/>
  <c r="AJ22"/>
  <c r="AK22" s="1"/>
  <c r="AH22"/>
  <c r="AE22"/>
  <c r="AA22"/>
  <c r="Z22"/>
  <c r="Y22"/>
  <c r="X22"/>
  <c r="W22"/>
  <c r="V22"/>
  <c r="S22"/>
  <c r="Q22"/>
  <c r="P22"/>
  <c r="M22"/>
  <c r="J22"/>
  <c r="I22"/>
  <c r="H22"/>
  <c r="G22"/>
  <c r="F22"/>
  <c r="AH21"/>
  <c r="AE21"/>
  <c r="S21"/>
  <c r="P21"/>
  <c r="AH20"/>
  <c r="AE20"/>
  <c r="AA20"/>
  <c r="AB20" s="1"/>
  <c r="S20"/>
  <c r="R20"/>
  <c r="Q20"/>
  <c r="P20"/>
  <c r="J20"/>
  <c r="G20"/>
  <c r="F20"/>
  <c r="AM19"/>
  <c r="AN19" s="1"/>
  <c r="AK19"/>
  <c r="AJ19"/>
  <c r="AG19"/>
  <c r="AH19" s="1"/>
  <c r="AH29" s="1"/>
  <c r="AE19"/>
  <c r="AD19"/>
  <c r="AA19"/>
  <c r="AB19" s="1"/>
  <c r="Y19"/>
  <c r="X19"/>
  <c r="V19"/>
  <c r="V29" s="1"/>
  <c r="S19"/>
  <c r="R19"/>
  <c r="O19"/>
  <c r="P19" s="1"/>
  <c r="M19"/>
  <c r="M29" s="1"/>
  <c r="L19"/>
  <c r="J19"/>
  <c r="I19"/>
  <c r="G17"/>
  <c r="F16"/>
  <c r="F15"/>
  <c r="AM14"/>
  <c r="AN14" s="1"/>
  <c r="P14"/>
  <c r="O14"/>
  <c r="F14"/>
  <c r="AJ13"/>
  <c r="AK13" s="1"/>
  <c r="AA13"/>
  <c r="AB13" s="1"/>
  <c r="X13"/>
  <c r="Y13" s="1"/>
  <c r="R13"/>
  <c r="S13" s="1"/>
  <c r="S17" s="1"/>
  <c r="P13"/>
  <c r="O13"/>
  <c r="I13"/>
  <c r="J13" s="1"/>
  <c r="J17" s="1"/>
  <c r="F13"/>
  <c r="AN11"/>
  <c r="AM11"/>
  <c r="AA11"/>
  <c r="AB11" s="1"/>
  <c r="Y11"/>
  <c r="X11"/>
  <c r="O11"/>
  <c r="P11" s="1"/>
  <c r="I11"/>
  <c r="F11"/>
  <c r="Y50" l="1"/>
  <c r="AN51"/>
  <c r="P29"/>
  <c r="AB50"/>
  <c r="S29"/>
  <c r="P50"/>
  <c r="M50" s="1"/>
  <c r="J50" s="1"/>
  <c r="G50" s="1"/>
  <c r="J29"/>
  <c r="G29" s="1"/>
  <c r="Y17"/>
  <c r="Y29"/>
  <c r="AK29"/>
  <c r="AB22"/>
  <c r="AB29" s="1"/>
  <c r="V50"/>
  <c r="AB17"/>
  <c r="AN29"/>
  <c r="AK51"/>
  <c r="AE29"/>
  <c r="AN8"/>
  <c r="J6"/>
  <c r="I6"/>
  <c r="AN5"/>
  <c r="AN10" s="1"/>
  <c r="AM5"/>
  <c r="AE4"/>
  <c r="Y4"/>
  <c r="W4"/>
  <c r="U4"/>
  <c r="V4" s="1"/>
  <c r="M4"/>
  <c r="J4"/>
  <c r="I4"/>
  <c r="AD3"/>
  <c r="AE3" s="1"/>
  <c r="AE9" s="1"/>
  <c r="Y3"/>
  <c r="X3"/>
  <c r="W3"/>
  <c r="U3"/>
  <c r="V3" s="1"/>
  <c r="V9" s="1"/>
  <c r="M9" s="1"/>
  <c r="J9" s="1"/>
  <c r="M3"/>
  <c r="L3"/>
  <c r="J3"/>
  <c r="I3"/>
  <c r="F33" i="1"/>
  <c r="D33"/>
  <c r="F32"/>
  <c r="F31"/>
  <c r="D31"/>
  <c r="F30"/>
  <c r="D30"/>
  <c r="F29"/>
  <c r="F34" s="1"/>
  <c r="D34" s="1"/>
  <c r="D29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F27" s="1"/>
  <c r="D20"/>
  <c r="F19"/>
  <c r="E19"/>
  <c r="D19"/>
  <c r="F18"/>
  <c r="D18"/>
  <c r="F17"/>
  <c r="E17"/>
  <c r="D17"/>
  <c r="F14"/>
  <c r="D14"/>
  <c r="F13"/>
  <c r="D13"/>
  <c r="F12"/>
  <c r="D12"/>
  <c r="F11"/>
  <c r="D11"/>
  <c r="F10"/>
  <c r="D10"/>
  <c r="D15" s="1"/>
  <c r="F7"/>
  <c r="D7"/>
  <c r="F6"/>
  <c r="D6"/>
  <c r="F5"/>
  <c r="E5"/>
  <c r="D5"/>
  <c r="F4"/>
  <c r="E4"/>
  <c r="D4"/>
  <c r="F3"/>
  <c r="E3"/>
  <c r="D3"/>
  <c r="F2"/>
  <c r="E2"/>
  <c r="D2"/>
  <c r="F15" l="1"/>
  <c r="Y9" i="2"/>
  <c r="D8" i="1"/>
  <c r="F8"/>
  <c r="D27"/>
</calcChain>
</file>

<file path=xl/sharedStrings.xml><?xml version="1.0" encoding="utf-8"?>
<sst xmlns="http://schemas.openxmlformats.org/spreadsheetml/2006/main" count="972" uniqueCount="275">
  <si>
    <t>上海闰龙</t>
    <phoneticPr fontId="1" type="noConversion"/>
  </si>
  <si>
    <t>环氧灌封料</t>
    <phoneticPr fontId="1" type="noConversion"/>
  </si>
  <si>
    <t>RL-300AHW</t>
    <phoneticPr fontId="1" type="noConversion"/>
  </si>
  <si>
    <t>RL-300BH</t>
    <phoneticPr fontId="1" type="noConversion"/>
  </si>
  <si>
    <t>数量</t>
    <phoneticPr fontId="1" type="noConversion"/>
  </si>
  <si>
    <t>浙江亚通</t>
    <phoneticPr fontId="1" type="noConversion"/>
  </si>
  <si>
    <t>四元环保喷金丝</t>
    <phoneticPr fontId="1" type="noConversion"/>
  </si>
  <si>
    <t>无锡嘉联</t>
    <phoneticPr fontId="1" type="noConversion"/>
  </si>
  <si>
    <t>环氧树脂</t>
    <phoneticPr fontId="1" type="noConversion"/>
  </si>
  <si>
    <t>5201A-W</t>
    <phoneticPr fontId="1" type="noConversion"/>
  </si>
  <si>
    <t>5201A-Y</t>
    <phoneticPr fontId="1" type="noConversion"/>
  </si>
  <si>
    <t>5201B-3</t>
    <phoneticPr fontId="1" type="noConversion"/>
  </si>
  <si>
    <t>FS-600-5</t>
    <phoneticPr fontId="1" type="noConversion"/>
  </si>
  <si>
    <t>5201A-37B</t>
    <phoneticPr fontId="1" type="noConversion"/>
  </si>
  <si>
    <t>113B-7</t>
    <phoneticPr fontId="1" type="noConversion"/>
  </si>
  <si>
    <t>无铅焊锡条</t>
    <phoneticPr fontId="1" type="noConversion"/>
  </si>
  <si>
    <t>锡锌丝</t>
    <phoneticPr fontId="1" type="noConversion"/>
  </si>
  <si>
    <t>无铅焊锡丝</t>
    <phoneticPr fontId="1" type="noConversion"/>
  </si>
  <si>
    <t>FA-225</t>
    <phoneticPr fontId="1" type="noConversion"/>
  </si>
  <si>
    <t>松香</t>
    <phoneticPr fontId="1" type="noConversion"/>
  </si>
  <si>
    <t>绍兴天龙</t>
    <phoneticPr fontId="1" type="noConversion"/>
  </si>
  <si>
    <t>SZSC-6无铅喷金</t>
    <phoneticPr fontId="1" type="noConversion"/>
  </si>
  <si>
    <t>SZSC-2无铅喷金</t>
    <phoneticPr fontId="1" type="noConversion"/>
  </si>
  <si>
    <t>RL-300AHB2</t>
    <phoneticPr fontId="1" type="noConversion"/>
  </si>
  <si>
    <t>锡锌丝</t>
    <phoneticPr fontId="1" type="noConversion"/>
  </si>
  <si>
    <t>5201A-Y1</t>
    <phoneticPr fontId="1" type="noConversion"/>
  </si>
  <si>
    <t>RL-300AHBA</t>
    <phoneticPr fontId="1" type="noConversion"/>
  </si>
  <si>
    <t>RL-300AHWA</t>
    <phoneticPr fontId="1" type="noConversion"/>
  </si>
  <si>
    <t>RL-300BH2</t>
    <phoneticPr fontId="1" type="noConversion"/>
  </si>
  <si>
    <t>5201A-38B</t>
  </si>
  <si>
    <t>5201A-W1</t>
    <phoneticPr fontId="1" type="noConversion"/>
  </si>
  <si>
    <t>金额</t>
    <phoneticPr fontId="1" type="noConversion"/>
  </si>
  <si>
    <t>规格</t>
    <phoneticPr fontId="1" type="noConversion"/>
  </si>
  <si>
    <t>单价</t>
    <phoneticPr fontId="1" type="noConversion"/>
  </si>
  <si>
    <t>金额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</si>
  <si>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</si>
  <si>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</si>
  <si>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</si>
  <si>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数量</t>
    <phoneticPr fontId="1" type="noConversion"/>
  </si>
  <si>
    <t>锌丝</t>
    <phoneticPr fontId="1" type="noConversion"/>
  </si>
  <si>
    <t>江阴惠峰</t>
    <phoneticPr fontId="1" type="noConversion"/>
  </si>
  <si>
    <t>固化剂</t>
    <phoneticPr fontId="1" type="noConversion"/>
  </si>
  <si>
    <t>FHB-236</t>
    <phoneticPr fontId="1" type="noConversion"/>
  </si>
  <si>
    <t>无锡华茂</t>
    <phoneticPr fontId="1" type="noConversion"/>
  </si>
  <si>
    <t>环保型红料</t>
    <phoneticPr fontId="1" type="noConversion"/>
  </si>
  <si>
    <t>外封固化剂</t>
    <phoneticPr fontId="1" type="noConversion"/>
  </si>
  <si>
    <t>外封稀释剂</t>
    <phoneticPr fontId="1" type="noConversion"/>
  </si>
  <si>
    <t>570固化剂</t>
    <phoneticPr fontId="1" type="noConversion"/>
  </si>
  <si>
    <t>电容器塑壳32*18*26</t>
    <phoneticPr fontId="5" type="noConversion"/>
  </si>
  <si>
    <t>电容器塑壳26*20*11</t>
    <phoneticPr fontId="5" type="noConversion"/>
  </si>
  <si>
    <t>电容器塑壳26*12*21.5</t>
    <phoneticPr fontId="5" type="noConversion"/>
  </si>
  <si>
    <t>电容器塑壳18*6*12</t>
    <phoneticPr fontId="5" type="noConversion"/>
  </si>
  <si>
    <t>电容器塑壳26.5*10*19</t>
    <phoneticPr fontId="5" type="noConversion"/>
  </si>
  <si>
    <t>电容器塑壳26.5*8.5*17</t>
    <phoneticPr fontId="5" type="noConversion"/>
  </si>
  <si>
    <t>电容器塑壳30*23*11.8</t>
    <phoneticPr fontId="5" type="noConversion"/>
  </si>
  <si>
    <t>电容器塑壳30*23.5*11.8</t>
    <phoneticPr fontId="5" type="noConversion"/>
  </si>
  <si>
    <t>电容器塑壳13*6*12</t>
    <phoneticPr fontId="5" type="noConversion"/>
  </si>
  <si>
    <t>电容器塑壳13*6*18</t>
    <phoneticPr fontId="5" type="noConversion"/>
  </si>
  <si>
    <t>电容器塑壳13*8*12</t>
    <phoneticPr fontId="5" type="noConversion"/>
  </si>
  <si>
    <t>电容器塑壳13*8*16</t>
    <phoneticPr fontId="5" type="noConversion"/>
  </si>
  <si>
    <t>电容器塑壳13*16*8</t>
    <phoneticPr fontId="5" type="noConversion"/>
  </si>
  <si>
    <t>电容器塑壳18*10*16</t>
    <phoneticPr fontId="5" type="noConversion"/>
  </si>
  <si>
    <t>电容器塑壳18*8*15.5</t>
    <phoneticPr fontId="5" type="noConversion"/>
  </si>
  <si>
    <t>电容器塑壳18*8*17</t>
    <phoneticPr fontId="5" type="noConversion"/>
  </si>
  <si>
    <t>电容器塑壳18*8.5*14.5</t>
    <phoneticPr fontId="5" type="noConversion"/>
  </si>
  <si>
    <t>电容器塑壳18*19*11</t>
    <phoneticPr fontId="5" type="noConversion"/>
  </si>
  <si>
    <t>电容器塑壳18*21*12</t>
    <phoneticPr fontId="5" type="noConversion"/>
  </si>
  <si>
    <t>电容器塑壳24*13*5.8</t>
    <phoneticPr fontId="5" type="noConversion"/>
  </si>
  <si>
    <t>电容器塑壳10*6*12</t>
    <phoneticPr fontId="5" type="noConversion"/>
  </si>
  <si>
    <t>电容器塑壳F7</t>
    <phoneticPr fontId="5" type="noConversion"/>
  </si>
  <si>
    <t>电容器塑壳C5YP</t>
    <phoneticPr fontId="5" type="noConversion"/>
  </si>
  <si>
    <t>昆山宏荣</t>
    <phoneticPr fontId="1" type="noConversion"/>
  </si>
  <si>
    <t>塑料壳10*19*26.5</t>
    <phoneticPr fontId="5" type="noConversion"/>
  </si>
  <si>
    <t>塑料壳10*16*18</t>
    <phoneticPr fontId="5" type="noConversion"/>
  </si>
  <si>
    <t>塑料壳10*10*5</t>
    <phoneticPr fontId="5" type="noConversion"/>
  </si>
  <si>
    <t>塑料壳10*8*4</t>
    <phoneticPr fontId="5" type="noConversion"/>
  </si>
  <si>
    <t>塑料壳13*22*32II</t>
    <phoneticPr fontId="5" type="noConversion"/>
  </si>
  <si>
    <t>塑料壳18*21*12</t>
    <phoneticPr fontId="5" type="noConversion"/>
  </si>
  <si>
    <t>塑料壳18*6*12</t>
    <phoneticPr fontId="5" type="noConversion"/>
  </si>
  <si>
    <t>塑料壳32*18*26</t>
    <phoneticPr fontId="5" type="noConversion"/>
  </si>
  <si>
    <t>塑料壳6*12*18</t>
    <phoneticPr fontId="5" type="noConversion"/>
  </si>
  <si>
    <t>塑料壳6*12*10</t>
    <phoneticPr fontId="5" type="noConversion"/>
  </si>
  <si>
    <t>塑料壳6*15*13</t>
    <phoneticPr fontId="5" type="noConversion"/>
  </si>
  <si>
    <t>塑料壳8*17*18</t>
    <phoneticPr fontId="5" type="noConversion"/>
  </si>
  <si>
    <t>塑料壳7*14.5*26.5</t>
    <phoneticPr fontId="5" type="noConversion"/>
  </si>
  <si>
    <t>塑料壳2.5*6.5*7.2</t>
    <phoneticPr fontId="5" type="noConversion"/>
  </si>
  <si>
    <t>塑料壳26.5*10*19</t>
    <phoneticPr fontId="5" type="noConversion"/>
  </si>
  <si>
    <t>塑料壳30*23.5*11.8</t>
    <phoneticPr fontId="5" type="noConversion"/>
  </si>
  <si>
    <t>塑料壳12*22*26.5II</t>
    <phoneticPr fontId="5" type="noConversion"/>
  </si>
  <si>
    <t>塑料壳8.5*17*26.5II</t>
    <phoneticPr fontId="5" type="noConversion"/>
  </si>
  <si>
    <t>塑料壳4*9*10.5II</t>
    <phoneticPr fontId="5" type="noConversion"/>
  </si>
  <si>
    <t>塑料壳5*11*10.5II</t>
    <phoneticPr fontId="5" type="noConversion"/>
  </si>
  <si>
    <t>塑料壳6*12*10.5II</t>
    <phoneticPr fontId="5" type="noConversion"/>
  </si>
  <si>
    <t>塑料壳6*15*26.5II</t>
    <phoneticPr fontId="5" type="noConversion"/>
  </si>
  <si>
    <t>塑料壳7*16*26.5II</t>
    <phoneticPr fontId="5" type="noConversion"/>
  </si>
  <si>
    <t>塑料壳7.5*13.5*18I</t>
    <phoneticPr fontId="5" type="noConversion"/>
  </si>
  <si>
    <t>塑料壳8.5*14.5*18I</t>
    <phoneticPr fontId="5" type="noConversion"/>
  </si>
  <si>
    <t>塑料壳9*18*32II</t>
    <phoneticPr fontId="5" type="noConversion"/>
  </si>
  <si>
    <t>塑料壳22*37*32II</t>
    <phoneticPr fontId="5" type="noConversion"/>
  </si>
  <si>
    <t>塑料壳18*33*32II</t>
    <phoneticPr fontId="5" type="noConversion"/>
  </si>
  <si>
    <t>塑料壳15*24.5*32II</t>
    <phoneticPr fontId="5" type="noConversion"/>
  </si>
  <si>
    <t>塑料壳12*22.26.5II</t>
    <phoneticPr fontId="5" type="noConversion"/>
  </si>
  <si>
    <t>塑料壳10*20*32II</t>
    <phoneticPr fontId="5" type="noConversion"/>
  </si>
  <si>
    <t>塑料壳11*20*26.5II</t>
    <phoneticPr fontId="5" type="noConversion"/>
  </si>
  <si>
    <t>塑料壳11*19*18I</t>
    <phoneticPr fontId="5" type="noConversion"/>
  </si>
  <si>
    <t>厦门松竹</t>
    <phoneticPr fontId="1" type="noConversion"/>
  </si>
  <si>
    <t>南京安弘</t>
    <phoneticPr fontId="1" type="noConversion"/>
  </si>
  <si>
    <t>铝箔15*35</t>
    <phoneticPr fontId="5" type="noConversion"/>
  </si>
  <si>
    <t>铝箔15*50</t>
    <phoneticPr fontId="5" type="noConversion"/>
  </si>
  <si>
    <t>铝箔15*55</t>
    <phoneticPr fontId="5" type="noConversion"/>
  </si>
  <si>
    <t>铝箔15*25</t>
    <phoneticPr fontId="5" type="noConversion"/>
  </si>
  <si>
    <r>
      <t>铝箔15*</t>
    </r>
    <r>
      <rPr>
        <sz val="11"/>
        <rFont val="宋体"/>
        <family val="3"/>
        <charset val="134"/>
      </rPr>
      <t>30</t>
    </r>
    <phoneticPr fontId="5" type="noConversion"/>
  </si>
  <si>
    <t>铝箔6*5</t>
    <phoneticPr fontId="5" type="noConversion"/>
  </si>
  <si>
    <t>铝箔6*12</t>
    <phoneticPr fontId="5" type="noConversion"/>
  </si>
  <si>
    <t>无锡森宝</t>
    <phoneticPr fontId="1" type="noConversion"/>
  </si>
  <si>
    <t>RV电线</t>
    <phoneticPr fontId="1" type="noConversion"/>
  </si>
  <si>
    <t>0.5mm</t>
    <phoneticPr fontId="1" type="noConversion"/>
  </si>
  <si>
    <t>无锡绍惠</t>
    <phoneticPr fontId="1" type="noConversion"/>
  </si>
  <si>
    <t>白炭黑</t>
    <phoneticPr fontId="1" type="noConversion"/>
  </si>
  <si>
    <t>N-20</t>
    <phoneticPr fontId="1" type="noConversion"/>
  </si>
  <si>
    <t>张家港闸上</t>
    <phoneticPr fontId="1" type="noConversion"/>
  </si>
  <si>
    <t>CP线</t>
    <phoneticPr fontId="1" type="noConversion"/>
  </si>
  <si>
    <t>纸箱452*322*280</t>
    <phoneticPr fontId="5" type="noConversion"/>
  </si>
  <si>
    <t>纸箱452*322*250</t>
    <phoneticPr fontId="5" type="noConversion"/>
  </si>
  <si>
    <t>纸箱（三层）255*150*172</t>
    <phoneticPr fontId="5" type="noConversion"/>
  </si>
  <si>
    <t>纸箱（三层）255*230*175</t>
    <phoneticPr fontId="5" type="noConversion"/>
  </si>
  <si>
    <t>纸箱（三层）310*215*50</t>
    <phoneticPr fontId="5" type="noConversion"/>
  </si>
  <si>
    <t>纸盒310*215*255</t>
    <phoneticPr fontId="5" type="noConversion"/>
  </si>
  <si>
    <t>纸箱480*270*202</t>
    <phoneticPr fontId="5" type="noConversion"/>
  </si>
  <si>
    <t>纸箱450*320*280</t>
    <phoneticPr fontId="5" type="noConversion"/>
  </si>
  <si>
    <t>无锡双红</t>
    <phoneticPr fontId="1" type="noConversion"/>
  </si>
  <si>
    <t>纸盒310*215*202</t>
    <phoneticPr fontId="1" type="noConversion"/>
  </si>
  <si>
    <t>环保型绿料</t>
    <phoneticPr fontId="1" type="noConversion"/>
  </si>
  <si>
    <t>内封B料</t>
    <phoneticPr fontId="1" type="noConversion"/>
  </si>
  <si>
    <t>南通新广生</t>
    <phoneticPr fontId="1" type="noConversion"/>
  </si>
  <si>
    <t>环氧树脂</t>
    <phoneticPr fontId="1" type="noConversion"/>
  </si>
  <si>
    <t>环保塑壳32*40*47（只）</t>
    <phoneticPr fontId="5" type="noConversion"/>
  </si>
  <si>
    <t>环保塑壳14*28*37（只）</t>
    <phoneticPr fontId="5" type="noConversion"/>
  </si>
  <si>
    <t>慈溪宏容</t>
    <phoneticPr fontId="1" type="noConversion"/>
  </si>
  <si>
    <t>4月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</si>
  <si>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</si>
  <si>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</si>
  <si>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</si>
  <si>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单价</t>
    <phoneticPr fontId="1" type="noConversion"/>
  </si>
  <si>
    <t>68/ 71</t>
    <phoneticPr fontId="1" type="noConversion"/>
  </si>
  <si>
    <t>纸箱558*320*226</t>
    <phoneticPr fontId="1" type="noConversion"/>
  </si>
  <si>
    <t>纸箱560*322*250</t>
    <phoneticPr fontId="1" type="noConversion"/>
  </si>
  <si>
    <t>纸盒310*270*50</t>
    <phoneticPr fontId="1" type="noConversion"/>
  </si>
  <si>
    <t>纸盒310*270*55</t>
    <phoneticPr fontId="1" type="noConversion"/>
  </si>
  <si>
    <t>5月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</si>
  <si>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</si>
  <si>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</si>
  <si>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</si>
  <si>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6月</t>
    <phoneticPr fontId="1" type="noConversion"/>
  </si>
  <si>
    <t>116B-7</t>
    <phoneticPr fontId="1" type="noConversion"/>
  </si>
  <si>
    <t>BMPTZS锌丝</t>
    <phoneticPr fontId="1" type="noConversion"/>
  </si>
  <si>
    <t>7月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</si>
  <si>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</si>
  <si>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</si>
  <si>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</si>
  <si>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纸箱558*320*228</t>
    <phoneticPr fontId="1" type="noConversion"/>
  </si>
  <si>
    <t>电容器塑壳18*8*15.5</t>
    <phoneticPr fontId="1" type="noConversion"/>
  </si>
  <si>
    <t>8月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</si>
  <si>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</si>
  <si>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</si>
  <si>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</si>
  <si>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9月</t>
    <phoneticPr fontId="1" type="noConversion"/>
  </si>
  <si>
    <t>电容器塑壳18*8*15.8</t>
    <phoneticPr fontId="1" type="noConversion"/>
  </si>
  <si>
    <t>铝箔20*35</t>
    <phoneticPr fontId="1" type="noConversion"/>
  </si>
  <si>
    <t>铝箔20*50</t>
    <phoneticPr fontId="1" type="noConversion"/>
  </si>
  <si>
    <t>10月</t>
    <phoneticPr fontId="1" type="noConversion"/>
  </si>
  <si>
    <t>杭州杭湖</t>
    <phoneticPr fontId="1" type="noConversion"/>
  </si>
  <si>
    <t>电线 RV0.5-90</t>
    <phoneticPr fontId="1" type="noConversion"/>
  </si>
  <si>
    <t>长兴华峰</t>
    <phoneticPr fontId="1" type="noConversion"/>
  </si>
  <si>
    <t>锡锌丝</t>
    <phoneticPr fontId="1" type="noConversion"/>
  </si>
  <si>
    <t>四元环保丝</t>
    <phoneticPr fontId="1" type="noConversion"/>
  </si>
  <si>
    <t>112/ 115</t>
    <phoneticPr fontId="1" type="noConversion"/>
  </si>
  <si>
    <t>环保塑壳32*40*47中（只）</t>
    <phoneticPr fontId="1" type="noConversion"/>
  </si>
  <si>
    <t>11月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</si>
  <si>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</si>
  <si>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</si>
  <si>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</si>
  <si>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12月</t>
    <phoneticPr fontId="1" type="noConversion"/>
  </si>
  <si>
    <t>铝箔6*4</t>
    <phoneticPr fontId="1" type="noConversion"/>
  </si>
  <si>
    <t>纸箱250*230*175</t>
    <phoneticPr fontId="1" type="noConversion"/>
  </si>
  <si>
    <t>18 /17.5</t>
    <phoneticPr fontId="1" type="noConversion"/>
  </si>
  <si>
    <t>18/ 18.5</t>
    <phoneticPr fontId="1" type="noConversion"/>
  </si>
  <si>
    <t>23/ 22</t>
    <phoneticPr fontId="1" type="noConversion"/>
  </si>
  <si>
    <t>高温内封B料</t>
    <phoneticPr fontId="1" type="noConversion"/>
  </si>
  <si>
    <t>18.5/ 18</t>
    <phoneticPr fontId="1" type="noConversion"/>
  </si>
  <si>
    <t>18/ 17.5</t>
    <phoneticPr fontId="1" type="noConversion"/>
  </si>
  <si>
    <t>铝箔20*25</t>
    <phoneticPr fontId="1" type="noConversion"/>
  </si>
  <si>
    <t>铝箔20*55</t>
    <phoneticPr fontId="1" type="noConversion"/>
  </si>
  <si>
    <t>*</t>
    <phoneticPr fontId="1" type="noConversion"/>
  </si>
  <si>
    <t>18/ 17.5</t>
    <phoneticPr fontId="1" type="noConversion"/>
  </si>
  <si>
    <t>电容器塑壳30*23.3*11.8</t>
    <phoneticPr fontId="1" type="noConversion"/>
  </si>
  <si>
    <t>RL-200AZR1</t>
    <phoneticPr fontId="1" type="noConversion"/>
  </si>
  <si>
    <t>RL-200AZR2</t>
    <phoneticPr fontId="1" type="noConversion"/>
  </si>
  <si>
    <t>内封B料</t>
    <phoneticPr fontId="1" type="noConversion"/>
  </si>
  <si>
    <t>白色灌注料</t>
    <phoneticPr fontId="1" type="noConversion"/>
  </si>
  <si>
    <t>电容器塑壳18*7*14.5</t>
    <phoneticPr fontId="1" type="noConversion"/>
  </si>
  <si>
    <t>电容器塑壳13*9*4</t>
    <phoneticPr fontId="1" type="noConversion"/>
  </si>
  <si>
    <t>纸箱250*150*172</t>
    <phoneticPr fontId="1" type="noConversion"/>
  </si>
  <si>
    <t>18/ 17.5</t>
    <phoneticPr fontId="1" type="noConversion"/>
  </si>
  <si>
    <t>17.5/ 17</t>
    <phoneticPr fontId="1" type="noConversion"/>
  </si>
  <si>
    <t>59.4 万</t>
    <phoneticPr fontId="1" type="noConversion"/>
  </si>
  <si>
    <t>18/17.5</t>
    <phoneticPr fontId="1" type="noConversion"/>
  </si>
  <si>
    <t>17.5/18</t>
    <phoneticPr fontId="1" type="noConversion"/>
  </si>
  <si>
    <t>电容器塑壳10*12*6</t>
    <phoneticPr fontId="5" type="noConversion"/>
  </si>
  <si>
    <t>电容器塑壳13*12*6</t>
    <phoneticPr fontId="5" type="noConversion"/>
  </si>
  <si>
    <t>南通星辰</t>
    <phoneticPr fontId="1" type="noConversion"/>
  </si>
  <si>
    <t>18/17.5</t>
    <phoneticPr fontId="1" type="noConversion"/>
  </si>
  <si>
    <t>SZSC-6无铅喷金(50丝）</t>
    <phoneticPr fontId="1" type="noConversion"/>
  </si>
  <si>
    <t>SZSC-6无铅喷金</t>
    <phoneticPr fontId="1" type="noConversion"/>
  </si>
  <si>
    <t>18/17.5</t>
    <phoneticPr fontId="1" type="noConversion"/>
  </si>
  <si>
    <t>中温固化剂</t>
    <phoneticPr fontId="1" type="noConversion"/>
  </si>
  <si>
    <t>锡锌丝HFSnZn50</t>
    <phoneticPr fontId="1" type="noConversion"/>
  </si>
  <si>
    <t>纸盒310*220*55</t>
    <phoneticPr fontId="1" type="noConversion"/>
  </si>
  <si>
    <t>HYSnZn70锡锌丝</t>
    <phoneticPr fontId="1" type="noConversion"/>
  </si>
  <si>
    <t>无锡绍惠</t>
    <phoneticPr fontId="1" type="noConversion"/>
  </si>
  <si>
    <t>白炭黑N-20ST   （公斤）</t>
    <phoneticPr fontId="1" type="noConversion"/>
  </si>
  <si>
    <t>环氧树脂  （吨）</t>
    <phoneticPr fontId="1" type="noConversion"/>
  </si>
  <si>
    <t>嘉善硕丰</t>
    <phoneticPr fontId="1" type="noConversion"/>
  </si>
  <si>
    <t>锡锌丝HFSnZn30</t>
    <phoneticPr fontId="1" type="noConversion"/>
  </si>
  <si>
    <t>17.3/17</t>
    <phoneticPr fontId="1" type="noConversion"/>
  </si>
  <si>
    <t>塑料壳8.5*14.5*18I</t>
    <phoneticPr fontId="1" type="noConversion"/>
  </si>
  <si>
    <t>电容器塑壳13*16*8</t>
    <phoneticPr fontId="5" type="noConversion"/>
  </si>
  <si>
    <t>电容器塑壳18*11*19</t>
    <phoneticPr fontId="5" type="noConversion"/>
  </si>
  <si>
    <t>电容器塑壳26.5*17*8.5</t>
    <phoneticPr fontId="5" type="noConversion"/>
  </si>
  <si>
    <t>电容器塑壳18*20*12</t>
    <phoneticPr fontId="1" type="noConversion"/>
  </si>
  <si>
    <t>电容器塑壳18*15.5*8</t>
    <phoneticPr fontId="1" type="noConversion"/>
  </si>
  <si>
    <t>电容器塑壳18*14.5*7</t>
    <phoneticPr fontId="1" type="noConversion"/>
  </si>
  <si>
    <t>无锡绍惠</t>
    <phoneticPr fontId="1" type="noConversion"/>
  </si>
  <si>
    <t>固化剂</t>
    <phoneticPr fontId="1" type="noConversion"/>
  </si>
  <si>
    <t>n-20st</t>
    <phoneticPr fontId="1" type="noConversion"/>
  </si>
  <si>
    <t>501稀释剂</t>
    <phoneticPr fontId="1" type="noConversion"/>
  </si>
  <si>
    <t>塑料壳8.5*14.5*18</t>
    <phoneticPr fontId="1" type="noConversion"/>
  </si>
  <si>
    <t>17.5/17</t>
    <phoneticPr fontId="1" type="noConversion"/>
  </si>
  <si>
    <t>电容器塑壳18*12*21</t>
    <phoneticPr fontId="5" type="noConversion"/>
  </si>
  <si>
    <t>570固化剂  (内封固化剂）</t>
    <phoneticPr fontId="1" type="noConversion"/>
  </si>
  <si>
    <t>四元环保丝 HFSZSC-3</t>
    <phoneticPr fontId="1" type="noConversion"/>
  </si>
  <si>
    <t>塑料壳4*9*13  灰1</t>
    <phoneticPr fontId="1" type="noConversion"/>
  </si>
  <si>
    <t>塑料壳12*22*26.5II 黄1</t>
    <phoneticPr fontId="5" type="noConversion"/>
  </si>
  <si>
    <t>电容器塑壳26*15*6</t>
    <phoneticPr fontId="5" type="noConversion"/>
  </si>
  <si>
    <t>纸箱265*160*185</t>
    <phoneticPr fontId="1" type="noConversion"/>
  </si>
  <si>
    <t>塑料壳10*19*26.5（灰3）</t>
    <phoneticPr fontId="5" type="noConversion"/>
  </si>
  <si>
    <t>塑料壳8.5*14.5*18I黑</t>
    <phoneticPr fontId="5" type="noConversion"/>
  </si>
  <si>
    <t>塑料壳6*15*13灰3</t>
    <phoneticPr fontId="5" type="noConversion"/>
  </si>
  <si>
    <t>塑料壳6*12*10黄1</t>
    <phoneticPr fontId="5" type="noConversion"/>
  </si>
  <si>
    <t>白炭黑</t>
    <phoneticPr fontId="1" type="noConversion"/>
  </si>
  <si>
    <t>环保塑壳30*44*58（只）</t>
    <phoneticPr fontId="1" type="noConversion"/>
  </si>
  <si>
    <t>电容器塑壳18*15.5*8</t>
    <phoneticPr fontId="5" type="noConversion"/>
  </si>
  <si>
    <t>17.5/18</t>
    <phoneticPr fontId="1" type="noConversion"/>
  </si>
  <si>
    <t>纸箱558*320*220</t>
    <phoneticPr fontId="1" type="noConversion"/>
  </si>
  <si>
    <t>纸箱265*240*200</t>
    <phoneticPr fontId="1" type="noConversion"/>
  </si>
  <si>
    <t>纸盒320*280*225</t>
    <phoneticPr fontId="1" type="noConversion"/>
  </si>
  <si>
    <t>塑料壳41*41*26灰7</t>
    <phoneticPr fontId="1" type="noConversion"/>
  </si>
  <si>
    <t>5201A-39B</t>
  </si>
  <si>
    <t xml:space="preserve">塑料壳15*24.5*32II </t>
    <phoneticPr fontId="5" type="noConversion"/>
  </si>
  <si>
    <t>塑料壳10*16*18黄1</t>
    <phoneticPr fontId="5" type="noConversion"/>
  </si>
  <si>
    <t>116B-3</t>
    <phoneticPr fontId="1" type="noConversion"/>
  </si>
  <si>
    <t>塑料壳6*12*18(黄1灰1 灰3 灰5 黑）</t>
    <phoneticPr fontId="5" type="noConversion"/>
  </si>
  <si>
    <t>x-003</t>
    <phoneticPr fontId="1" type="noConversion"/>
  </si>
  <si>
    <t>塑料壳7*14.5*26.5灰3</t>
    <phoneticPr fontId="5" type="noConversion"/>
  </si>
  <si>
    <t>无铅松香锡丝</t>
    <phoneticPr fontId="1" type="noConversion"/>
  </si>
  <si>
    <t>5201B-7</t>
    <phoneticPr fontId="1" type="noConversion"/>
  </si>
  <si>
    <t>0.8（铜）</t>
    <phoneticPr fontId="1" type="noConversion"/>
  </si>
  <si>
    <t>SZSC-2B无铅喷金  1.54</t>
    <phoneticPr fontId="1" type="noConversion"/>
  </si>
  <si>
    <t>塑料壳32*22*13II灰7</t>
    <phoneticPr fontId="5" type="noConversion"/>
  </si>
  <si>
    <t>优惠价</t>
    <phoneticPr fontId="1" type="noConversion"/>
  </si>
  <si>
    <t>向阳化工</t>
    <phoneticPr fontId="1" type="noConversion"/>
  </si>
  <si>
    <t>钛白粉</t>
    <phoneticPr fontId="1" type="noConversion"/>
  </si>
  <si>
    <t>环氧灌封固化剂</t>
    <phoneticPr fontId="1" type="noConversion"/>
  </si>
  <si>
    <t>电容器塑壳18*15*9</t>
    <phoneticPr fontId="1" type="noConversion"/>
  </si>
  <si>
    <t>塑料壳13*22*32 II灰7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</si>
</sst>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.0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rgb="FFC00000"/>
      <name val="宋体"/>
      <family val="2"/>
      <charset val="134"/>
      <scheme val="minor"/>
    </font>
    <font>
      <b/>
      <sz val="11"/>
      <color rgb="FFC00000"/>
      <name val="宋体"/>
      <family val="2"/>
      <charset val="134"/>
      <scheme val="minor"/>
    </font>
    <font>
      <b/>
      <sz val="11"/>
      <color rgb="FFC0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4" xfId="0" applyFont="1" applyBorder="1">
      <alignment vertical="center"/>
    </xf>
    <xf numFmtId="0" fontId="0" fillId="0" borderId="4" xfId="0" applyBorder="1" applyAlignment="1">
      <alignment horizontal="left" vertical="center"/>
    </xf>
    <xf numFmtId="0" fontId="4" fillId="0" borderId="5" xfId="0" applyFont="1" applyBorder="1" applyAlignment="1"/>
    <xf numFmtId="0" fontId="4" fillId="0" borderId="4" xfId="0" applyFont="1" applyBorder="1" applyAlignment="1"/>
    <xf numFmtId="0" fontId="4" fillId="0" borderId="5" xfId="0" applyFont="1" applyFill="1" applyBorder="1" applyAlignment="1"/>
    <xf numFmtId="0" fontId="2" fillId="0" borderId="2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4" xfId="0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176" fontId="12" fillId="0" borderId="0" xfId="0" applyNumberFormat="1" applyFont="1">
      <alignment vertical="center"/>
    </xf>
    <xf numFmtId="0" fontId="11" fillId="0" borderId="1" xfId="0" applyFont="1" applyBorder="1">
      <alignment vertical="center"/>
    </xf>
    <xf numFmtId="177" fontId="0" fillId="0" borderId="1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6" fillId="0" borderId="1" xfId="0" applyNumberFormat="1" applyFont="1" applyBorder="1">
      <alignment vertical="center"/>
    </xf>
    <xf numFmtId="177" fontId="11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2" fillId="0" borderId="7" xfId="0" applyFont="1" applyBorder="1">
      <alignment vertical="center"/>
    </xf>
    <xf numFmtId="177" fontId="0" fillId="0" borderId="8" xfId="0" applyNumberFormat="1" applyBorder="1">
      <alignment vertical="center"/>
    </xf>
    <xf numFmtId="178" fontId="2" fillId="0" borderId="0" xfId="0" applyNumberFormat="1" applyFont="1">
      <alignment vertical="center"/>
    </xf>
    <xf numFmtId="176" fontId="0" fillId="0" borderId="1" xfId="0" applyNumberFormat="1" applyBorder="1">
      <alignment vertical="center"/>
    </xf>
    <xf numFmtId="0" fontId="13" fillId="0" borderId="0" xfId="0" applyFont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2" xfId="0" applyNumberFormat="1" applyFont="1" applyBorder="1">
      <alignment vertical="center"/>
    </xf>
    <xf numFmtId="178" fontId="12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78" fontId="0" fillId="0" borderId="1" xfId="0" applyNumberForma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7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8" fontId="2" fillId="0" borderId="2" xfId="0" applyNumberFormat="1" applyFont="1" applyBorder="1" applyAlignment="1">
      <alignment vertical="center" shrinkToFit="1"/>
    </xf>
    <xf numFmtId="177" fontId="0" fillId="0" borderId="3" xfId="0" applyNumberForma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178" fontId="12" fillId="0" borderId="0" xfId="0" applyNumberFormat="1" applyFont="1" applyAlignment="1">
      <alignment vertical="center" shrinkToFit="1"/>
    </xf>
    <xf numFmtId="177" fontId="11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178" fontId="8" fillId="0" borderId="0" xfId="0" applyNumberFormat="1" applyFont="1" applyAlignment="1">
      <alignment vertical="center" shrinkToFit="1"/>
    </xf>
    <xf numFmtId="177" fontId="6" fillId="0" borderId="1" xfId="0" applyNumberFormat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0" borderId="5" xfId="0" applyFont="1" applyFill="1" applyBorder="1" applyAlignment="1">
      <alignment shrinkToFit="1"/>
    </xf>
    <xf numFmtId="0" fontId="0" fillId="0" borderId="4" xfId="0" applyBorder="1" applyAlignment="1">
      <alignment horizontal="left" vertical="center" shrinkToFit="1"/>
    </xf>
    <xf numFmtId="0" fontId="4" fillId="0" borderId="4" xfId="0" applyFont="1" applyBorder="1" applyAlignment="1">
      <alignment shrinkToFit="1"/>
    </xf>
    <xf numFmtId="176" fontId="0" fillId="0" borderId="1" xfId="0" applyNumberForma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shrinkToFit="1"/>
    </xf>
    <xf numFmtId="178" fontId="0" fillId="0" borderId="1" xfId="0" applyNumberFormat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178" fontId="2" fillId="0" borderId="0" xfId="0" applyNumberFormat="1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178" fontId="2" fillId="0" borderId="7" xfId="0" applyNumberFormat="1" applyFont="1" applyBorder="1" applyAlignment="1">
      <alignment vertical="center" shrinkToFit="1"/>
    </xf>
    <xf numFmtId="177" fontId="0" fillId="0" borderId="8" xfId="0" applyNumberForma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opLeftCell="A16" workbookViewId="0">
      <selection activeCell="I23" sqref="I23"/>
    </sheetView>
  </sheetViews>
  <sheetFormatPr defaultRowHeight="14.4"/>
  <cols>
    <col min="1" max="1" width="9.88671875" customWidth="1"/>
    <col min="2" max="2" width="14.33203125" customWidth="1"/>
    <col min="3" max="3" width="11.44140625" customWidth="1"/>
    <col min="4" max="4" width="9" customWidth="1"/>
    <col min="5" max="5" width="12.44140625" hidden="1" customWidth="1"/>
    <col min="6" max="6" width="13.21875" bestFit="1" customWidth="1"/>
  </cols>
  <sheetData>
    <row r="1" spans="1:6">
      <c r="C1" t="s">
        <v>32</v>
      </c>
      <c r="D1" t="s">
        <v>4</v>
      </c>
      <c r="F1" t="s">
        <v>31</v>
      </c>
    </row>
    <row r="2" spans="1:6">
      <c r="A2" t="s">
        <v>0</v>
      </c>
      <c r="B2" t="s">
        <v>1</v>
      </c>
      <c r="C2" t="s">
        <v>2</v>
      </c>
      <c r="D2">
        <f>166+250+250+250+250+250+250+250+250+300+300+350+150+400+400+400+400+100+300+400+400+400+100+400+400+200</f>
        <v>7566</v>
      </c>
      <c r="E2">
        <f>24.786324786*1.17</f>
        <v>28.999999999620002</v>
      </c>
      <c r="F2">
        <f>187514+2478.63+421.37+11600+11600+4957.26+842.74</f>
        <v>219414</v>
      </c>
    </row>
    <row r="3" spans="1:6">
      <c r="B3" t="s">
        <v>1</v>
      </c>
      <c r="C3" t="s">
        <v>3</v>
      </c>
      <c r="D3">
        <f>65.1+95+95+100+100+100+100+100+100+115+115+185+235+400+111+296+185+324+75</f>
        <v>2896.1</v>
      </c>
      <c r="E3">
        <f>24.786324786*1.17</f>
        <v>28.999999999620002</v>
      </c>
      <c r="F3">
        <f>24797.9+3335+3335+4585.47+779.53+5824.79+990.21+11600+2751.28+467.72+7336.75+1247.25+4585.47+779.53+9396+1858.97+316.03</f>
        <v>83986.9</v>
      </c>
    </row>
    <row r="4" spans="1:6">
      <c r="C4" t="s">
        <v>23</v>
      </c>
      <c r="D4">
        <f>10+10</f>
        <v>20</v>
      </c>
      <c r="E4">
        <f>24.786324786*1.17</f>
        <v>28.999999999620002</v>
      </c>
      <c r="F4">
        <f>247.86+42.14+247.86+42.14</f>
        <v>580</v>
      </c>
    </row>
    <row r="5" spans="1:6">
      <c r="C5" t="s">
        <v>26</v>
      </c>
      <c r="D5">
        <f>7.3</f>
        <v>7.3</v>
      </c>
      <c r="E5">
        <f>51.282051282*1.17</f>
        <v>59.999999999939995</v>
      </c>
      <c r="F5">
        <f>374.36+63.64</f>
        <v>438</v>
      </c>
    </row>
    <row r="6" spans="1:6">
      <c r="C6" t="s">
        <v>27</v>
      </c>
      <c r="D6">
        <f>7.3</f>
        <v>7.3</v>
      </c>
      <c r="E6">
        <v>60</v>
      </c>
      <c r="F6">
        <f>438</f>
        <v>438</v>
      </c>
    </row>
    <row r="7" spans="1:6">
      <c r="C7" t="s">
        <v>28</v>
      </c>
      <c r="D7">
        <f>5.4</f>
        <v>5.4</v>
      </c>
      <c r="E7">
        <v>60</v>
      </c>
      <c r="F7">
        <f>276.92+47.08</f>
        <v>324</v>
      </c>
    </row>
    <row r="8" spans="1:6">
      <c r="D8" s="1">
        <f>SUM(D2:D7)</f>
        <v>10502.099999999999</v>
      </c>
      <c r="F8" s="1">
        <f>SUM(F2:F7)</f>
        <v>305180.90000000002</v>
      </c>
    </row>
    <row r="10" spans="1:6">
      <c r="A10" t="s">
        <v>5</v>
      </c>
      <c r="B10" t="s">
        <v>6</v>
      </c>
      <c r="C10">
        <v>1.54</v>
      </c>
      <c r="D10">
        <f>510+510+510+510+600+600+510+600</f>
        <v>4350</v>
      </c>
      <c r="F10">
        <f>65280+56666.67+9633.33+60180+52307.69+8892.31+60512.82+10287.18+56923.08+9676.92+62730+71400</f>
        <v>524490</v>
      </c>
    </row>
    <row r="11" spans="1:6">
      <c r="B11" t="s">
        <v>15</v>
      </c>
      <c r="D11">
        <f>60+120+60+40+60+40+60+60+60+60+60+60</f>
        <v>740</v>
      </c>
      <c r="F11">
        <f>100615+9180+8153.85+1386.15</f>
        <v>119335</v>
      </c>
    </row>
    <row r="12" spans="1:6">
      <c r="B12" t="s">
        <v>16</v>
      </c>
      <c r="C12">
        <v>1.54</v>
      </c>
      <c r="D12">
        <f>510+150+510+1005+600+1005+1005</f>
        <v>4785</v>
      </c>
      <c r="F12">
        <f>47430+14850+48960+94470+44102.56+7497.44+89445+79025.64+13434.36</f>
        <v>439215</v>
      </c>
    </row>
    <row r="13" spans="1:6">
      <c r="B13" t="s">
        <v>17</v>
      </c>
      <c r="C13">
        <v>2</v>
      </c>
      <c r="D13">
        <f>20+20+20</f>
        <v>60</v>
      </c>
      <c r="F13">
        <f>2820.51+479.49+3008.55+511.45+2598.29+441.71</f>
        <v>9860</v>
      </c>
    </row>
    <row r="14" spans="1:6">
      <c r="B14" t="s">
        <v>19</v>
      </c>
      <c r="D14">
        <f>30+30</f>
        <v>60</v>
      </c>
      <c r="F14">
        <f>897.44+152.56+1050</f>
        <v>2100</v>
      </c>
    </row>
    <row r="15" spans="1:6">
      <c r="D15" s="1">
        <f>SUM(D10:D14)</f>
        <v>9995</v>
      </c>
      <c r="F15" s="2">
        <f>SUM(F10:F14)</f>
        <v>1095000</v>
      </c>
    </row>
    <row r="17" spans="1:6">
      <c r="A17" t="s">
        <v>7</v>
      </c>
      <c r="B17" t="s">
        <v>8</v>
      </c>
      <c r="C17" t="s">
        <v>9</v>
      </c>
      <c r="D17">
        <f>540+300+240+870+90+150+150</f>
        <v>2340</v>
      </c>
      <c r="E17">
        <f>15.811965812*1.17</f>
        <v>18.50000000004</v>
      </c>
      <c r="F17">
        <f>8538.46+1451.54+4743.59+806.41+3794.87+645.13+13756.41+2338.59+1423.08+241.92+2371.79+403.21+2371.79+403.21</f>
        <v>43290</v>
      </c>
    </row>
    <row r="18" spans="1:6">
      <c r="C18" t="s">
        <v>30</v>
      </c>
      <c r="D18">
        <f>540+150+1440</f>
        <v>2130</v>
      </c>
      <c r="E18">
        <v>18.5</v>
      </c>
      <c r="F18">
        <f>8538.46+1451.54+2371.79+403.21+22769.23+3870.77</f>
        <v>39404.999999999993</v>
      </c>
    </row>
    <row r="19" spans="1:6">
      <c r="C19" t="s">
        <v>10</v>
      </c>
      <c r="D19">
        <f>1440+600+900+540+1080+1050+1050+510+1200+1950+1470+1530+960</f>
        <v>14280</v>
      </c>
      <c r="E19">
        <f>15.811965812*1.17</f>
        <v>18.50000000004</v>
      </c>
      <c r="F19">
        <f>123210+8064.1+1370.9+18974.36+3225.64+30833.33+5241.67+23243.59+3951.41+24192.31+4112.69+15179.49+2580.51</f>
        <v>264180</v>
      </c>
    </row>
    <row r="20" spans="1:6">
      <c r="C20" t="s">
        <v>25</v>
      </c>
      <c r="D20">
        <f>270+1020</f>
        <v>1290</v>
      </c>
      <c r="E20">
        <v>18.5</v>
      </c>
      <c r="F20">
        <f>4269.23+725.77+16128.21+2741.79</f>
        <v>23865</v>
      </c>
    </row>
    <row r="21" spans="1:6">
      <c r="C21" t="s">
        <v>11</v>
      </c>
      <c r="D21">
        <f>738+102+210+396+102+720+372+366+198+444+798+570+90+324+528+324+186+54+510</f>
        <v>7032</v>
      </c>
      <c r="E21">
        <f>15.811965812*1.17</f>
        <v>18.50000000004</v>
      </c>
      <c r="F21">
        <f>110223+5123.08+870.92+2941.03+499.97+853.85+145.15+8064.1+1370.9</f>
        <v>130092</v>
      </c>
    </row>
    <row r="22" spans="1:6">
      <c r="C22" t="s">
        <v>12</v>
      </c>
      <c r="D22">
        <f>250+125+125+200+250+250+100+200</f>
        <v>1500</v>
      </c>
      <c r="E22">
        <f>2.5641025641*1.17</f>
        <v>2.9999999999970002</v>
      </c>
      <c r="F22">
        <f>750+320.51+54.49+320.51+54.49+512.82+87.18+641.03+108.97+641.03+108.97+256.41+43.59+600</f>
        <v>4500</v>
      </c>
    </row>
    <row r="23" spans="1:6">
      <c r="C23" t="s">
        <v>13</v>
      </c>
      <c r="D23">
        <f>300+120+330+510+90+180+180</f>
        <v>1710</v>
      </c>
      <c r="E23">
        <f>14.957264957*1.17</f>
        <v>17.499999999689997</v>
      </c>
      <c r="F23">
        <f>4487.18+762.82+1794.87+305.13+4935.9+839.1+7628.21+1296.79+1346.15+228.85+2692.31+457.69+2692.31+457.69</f>
        <v>29925</v>
      </c>
    </row>
    <row r="24" spans="1:6">
      <c r="C24" t="s">
        <v>29</v>
      </c>
      <c r="D24">
        <f>90+210+390+180+150</f>
        <v>1020</v>
      </c>
      <c r="E24">
        <f>14.957264957*1.17</f>
        <v>17.499999999689997</v>
      </c>
      <c r="F24">
        <f>1346.15+228.85+3141.03+533.97+5833.33+991.67+2692.31+457.69+2243.59+381.41</f>
        <v>17850.000000000004</v>
      </c>
    </row>
    <row r="25" spans="1:6">
      <c r="C25" t="s">
        <v>14</v>
      </c>
      <c r="D25">
        <f>90+36+96+96+24+48+48+24+48+96+30+36</f>
        <v>672</v>
      </c>
      <c r="E25">
        <f>14.957264957*1.17</f>
        <v>17.499999999689997</v>
      </c>
      <c r="F25">
        <f>8925+1435.9+244.1+448.72+76.28+538.46+91.54</f>
        <v>11760</v>
      </c>
    </row>
    <row r="26" spans="1:6">
      <c r="C26" t="s">
        <v>18</v>
      </c>
      <c r="D26">
        <f>160+160+160+160+160+160+240</f>
        <v>1200</v>
      </c>
      <c r="E26">
        <f>4.2735042735*1.17</f>
        <v>4.9999999999950004</v>
      </c>
      <c r="F26">
        <f>683.76+116.24+683.76+116.24+683.76+116.24+683.76+116.24+683.76+116.24+683.76+116.24+1025.64+174.36</f>
        <v>6000</v>
      </c>
    </row>
    <row r="27" spans="1:6">
      <c r="D27" s="1">
        <f>SUM(D17:D26)</f>
        <v>33174</v>
      </c>
      <c r="F27" s="1">
        <f>SUM(F17:F26)</f>
        <v>570867</v>
      </c>
    </row>
    <row r="29" spans="1:6">
      <c r="A29" t="s">
        <v>20</v>
      </c>
      <c r="B29" t="s">
        <v>21</v>
      </c>
      <c r="C29">
        <v>1.54</v>
      </c>
      <c r="D29">
        <f>510+510+510</f>
        <v>1530</v>
      </c>
      <c r="F29">
        <f>44679.49+7595.51+45987.18+7817.82+42500+7225</f>
        <v>155805</v>
      </c>
    </row>
    <row r="30" spans="1:6">
      <c r="B30" t="s">
        <v>22</v>
      </c>
      <c r="C30">
        <v>1.54</v>
      </c>
      <c r="D30">
        <f>150+510+120+435+510</f>
        <v>1725</v>
      </c>
      <c r="F30">
        <f>17179.49+2920.51+51435.9+8744.1+14280+52635+64770</f>
        <v>211965</v>
      </c>
    </row>
    <row r="31" spans="1:6">
      <c r="B31" t="s">
        <v>24</v>
      </c>
      <c r="C31">
        <v>1.54</v>
      </c>
      <c r="D31">
        <f>60+180</f>
        <v>240</v>
      </c>
      <c r="F31">
        <f>3564.1+605.9+12120</f>
        <v>16290</v>
      </c>
    </row>
    <row r="32" spans="1:6">
      <c r="B32" t="s">
        <v>21</v>
      </c>
      <c r="C32">
        <v>1.6</v>
      </c>
      <c r="D32">
        <v>1005</v>
      </c>
      <c r="F32">
        <f>82032.05+13945.45</f>
        <v>95977.5</v>
      </c>
    </row>
    <row r="33" spans="2:6">
      <c r="B33" t="s">
        <v>22</v>
      </c>
      <c r="C33">
        <v>1.6</v>
      </c>
      <c r="D33">
        <f>90</f>
        <v>90</v>
      </c>
      <c r="F33">
        <f>9076.92+1543.08</f>
        <v>10620</v>
      </c>
    </row>
    <row r="34" spans="2:6">
      <c r="D34" s="1">
        <f>SUM(D29:D33)</f>
        <v>4590</v>
      </c>
      <c r="F34" s="2">
        <f>SUM(F29:F33)</f>
        <v>490657.5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65"/>
  <sheetViews>
    <sheetView topLeftCell="A79" workbookViewId="0">
      <selection activeCell="A107" sqref="A107:XFD107"/>
    </sheetView>
  </sheetViews>
  <sheetFormatPr defaultRowHeight="14.4"/>
  <cols>
    <col min="1" max="1" width="11" style="5" bestFit="1" customWidth="1"/>
    <col min="2" max="2" width="25.21875" style="14" bestFit="1" customWidth="1"/>
    <col min="3" max="3" width="11.6640625" style="14" customWidth="1"/>
    <col min="4" max="4" width="7.44140625" hidden="1" customWidth="1"/>
    <col min="5" max="5" width="12.44140625" hidden="1" customWidth="1"/>
    <col min="6" max="6" width="8.44140625" style="1" hidden="1" customWidth="1"/>
    <col min="7" max="7" width="8.44140625" style="5" hidden="1" customWidth="1"/>
    <col min="8" max="8" width="7.44140625" hidden="1" customWidth="1"/>
    <col min="9" max="9" width="14.44140625" style="1" hidden="1" customWidth="1"/>
    <col min="10" max="10" width="8.44140625" style="5" hidden="1" customWidth="1"/>
    <col min="11" max="11" width="7.44140625" hidden="1" customWidth="1"/>
    <col min="12" max="12" width="7.33203125" style="1" hidden="1" customWidth="1"/>
    <col min="13" max="13" width="9.44140625" style="5" hidden="1" customWidth="1"/>
    <col min="14" max="14" width="7.44140625" hidden="1" customWidth="1"/>
    <col min="15" max="15" width="14.44140625" style="1" hidden="1" customWidth="1"/>
    <col min="16" max="16" width="12.77734375" style="5" hidden="1" customWidth="1"/>
    <col min="17" max="17" width="7.44140625" hidden="1" customWidth="1"/>
    <col min="18" max="18" width="7.33203125" style="1" hidden="1" customWidth="1"/>
    <col min="19" max="19" width="12.77734375" style="5" hidden="1" customWidth="1"/>
    <col min="20" max="20" width="7.44140625" hidden="1" customWidth="1"/>
    <col min="21" max="21" width="7.33203125" style="1" hidden="1" customWidth="1"/>
    <col min="22" max="22" width="12.77734375" style="5" hidden="1" customWidth="1"/>
    <col min="23" max="23" width="7.44140625" hidden="1" customWidth="1"/>
    <col min="24" max="24" width="12.77734375" hidden="1" customWidth="1"/>
    <col min="25" max="25" width="12.77734375" style="35" hidden="1" customWidth="1"/>
    <col min="26" max="26" width="7.44140625" hidden="1" customWidth="1"/>
    <col min="27" max="27" width="8.44140625" hidden="1" customWidth="1"/>
    <col min="28" max="28" width="12.77734375" style="5" hidden="1" customWidth="1"/>
    <col min="29" max="29" width="7.44140625" hidden="1" customWidth="1"/>
    <col min="30" max="30" width="6.44140625" hidden="1" customWidth="1"/>
    <col min="31" max="31" width="12.77734375" style="35" hidden="1" customWidth="1"/>
    <col min="34" max="34" width="9" style="5"/>
    <col min="37" max="37" width="9" style="5"/>
    <col min="40" max="40" width="9" style="5"/>
  </cols>
  <sheetData>
    <row r="1" spans="1:40">
      <c r="D1" s="112" t="s">
        <v>35</v>
      </c>
      <c r="E1" s="112"/>
      <c r="F1" s="112"/>
      <c r="G1" s="112"/>
      <c r="H1" s="112" t="s">
        <v>36</v>
      </c>
      <c r="I1" s="112"/>
      <c r="J1" s="112"/>
      <c r="K1" s="112" t="s">
        <v>37</v>
      </c>
      <c r="L1" s="112"/>
      <c r="M1" s="112"/>
      <c r="N1" s="112" t="s">
        <v>139</v>
      </c>
      <c r="O1" s="112"/>
      <c r="P1" s="112"/>
      <c r="Q1" s="113" t="s">
        <v>149</v>
      </c>
      <c r="R1" s="113"/>
      <c r="S1" s="114"/>
      <c r="T1" s="115" t="s">
        <v>153</v>
      </c>
      <c r="U1" s="113"/>
      <c r="V1" s="114"/>
      <c r="W1" s="115" t="s">
        <v>156</v>
      </c>
      <c r="X1" s="113"/>
      <c r="Y1" s="114"/>
      <c r="Z1" s="115" t="s">
        <v>162</v>
      </c>
      <c r="AA1" s="113"/>
      <c r="AB1" s="114"/>
      <c r="AC1" s="112" t="s">
        <v>166</v>
      </c>
      <c r="AD1" s="112"/>
      <c r="AE1" s="112"/>
      <c r="AF1" s="112" t="s">
        <v>170</v>
      </c>
      <c r="AG1" s="112"/>
      <c r="AH1" s="112"/>
      <c r="AI1" s="112" t="s">
        <v>178</v>
      </c>
      <c r="AJ1" s="112"/>
      <c r="AK1" s="112"/>
      <c r="AL1" s="112" t="s">
        <v>182</v>
      </c>
      <c r="AM1" s="112"/>
      <c r="AN1" s="112"/>
    </row>
    <row r="2" spans="1:40">
      <c r="C2" s="14" t="s">
        <v>32</v>
      </c>
      <c r="D2" t="s">
        <v>4</v>
      </c>
      <c r="F2" s="1" t="s">
        <v>143</v>
      </c>
      <c r="G2" s="5" t="s">
        <v>34</v>
      </c>
      <c r="H2" t="s">
        <v>38</v>
      </c>
      <c r="I2" s="1" t="s">
        <v>33</v>
      </c>
      <c r="J2" s="5" t="s">
        <v>34</v>
      </c>
      <c r="K2" t="s">
        <v>38</v>
      </c>
      <c r="L2" s="1" t="s">
        <v>33</v>
      </c>
      <c r="M2" s="5" t="s">
        <v>34</v>
      </c>
      <c r="N2" s="9" t="s">
        <v>140</v>
      </c>
      <c r="O2" s="24" t="s">
        <v>141</v>
      </c>
      <c r="P2" s="10" t="s">
        <v>142</v>
      </c>
      <c r="Q2" s="9" t="s">
        <v>150</v>
      </c>
      <c r="R2" s="24" t="s">
        <v>151</v>
      </c>
      <c r="S2" s="5" t="s">
        <v>152</v>
      </c>
      <c r="T2" s="9" t="s">
        <v>150</v>
      </c>
      <c r="U2" s="24" t="s">
        <v>151</v>
      </c>
      <c r="V2" s="5" t="s">
        <v>152</v>
      </c>
      <c r="W2" s="9" t="s">
        <v>157</v>
      </c>
      <c r="X2" s="9" t="s">
        <v>158</v>
      </c>
      <c r="Y2" s="35" t="s">
        <v>159</v>
      </c>
      <c r="Z2" s="9" t="s">
        <v>163</v>
      </c>
      <c r="AA2" s="9" t="s">
        <v>164</v>
      </c>
      <c r="AB2" s="5" t="s">
        <v>165</v>
      </c>
      <c r="AC2" s="9" t="s">
        <v>163</v>
      </c>
      <c r="AD2" s="9" t="s">
        <v>164</v>
      </c>
      <c r="AE2" s="35" t="s">
        <v>165</v>
      </c>
      <c r="AF2" s="9" t="s">
        <v>179</v>
      </c>
      <c r="AG2" s="9" t="s">
        <v>180</v>
      </c>
      <c r="AH2" s="5" t="s">
        <v>181</v>
      </c>
      <c r="AI2" s="9" t="s">
        <v>179</v>
      </c>
      <c r="AJ2" s="9" t="s">
        <v>180</v>
      </c>
      <c r="AK2" s="5" t="s">
        <v>181</v>
      </c>
      <c r="AL2" s="9" t="s">
        <v>179</v>
      </c>
      <c r="AM2" s="9" t="s">
        <v>180</v>
      </c>
      <c r="AN2" s="10" t="s">
        <v>181</v>
      </c>
    </row>
    <row r="3" spans="1:40" s="11" customFormat="1">
      <c r="A3" s="12" t="s">
        <v>0</v>
      </c>
      <c r="B3" s="15" t="s">
        <v>1</v>
      </c>
      <c r="C3" s="15" t="s">
        <v>2</v>
      </c>
      <c r="F3" s="21"/>
      <c r="G3" s="12"/>
      <c r="H3" s="11">
        <v>100</v>
      </c>
      <c r="I3" s="21">
        <f>24.786324786*1.17</f>
        <v>28.999999999620002</v>
      </c>
      <c r="J3" s="12">
        <f>2478.63+421.37</f>
        <v>2900</v>
      </c>
      <c r="K3" s="11">
        <v>200</v>
      </c>
      <c r="L3" s="21">
        <f>24.786324786*1.17</f>
        <v>28.999999999620002</v>
      </c>
      <c r="M3" s="12">
        <f>4957.26+842.74</f>
        <v>5800</v>
      </c>
      <c r="O3" s="21"/>
      <c r="P3" s="12"/>
      <c r="R3" s="21"/>
      <c r="S3" s="12"/>
      <c r="T3" s="11">
        <v>200</v>
      </c>
      <c r="U3" s="21">
        <f>24.786324786*1.17</f>
        <v>28.999999999620002</v>
      </c>
      <c r="V3" s="12">
        <f>T3*U3</f>
        <v>5799.9999999240008</v>
      </c>
      <c r="W3" s="11">
        <f>100+250</f>
        <v>350</v>
      </c>
      <c r="X3" s="11">
        <f>24.786324786*1.17</f>
        <v>28.999999999620002</v>
      </c>
      <c r="Y3" s="36">
        <f>W3*X3</f>
        <v>10149.999999867001</v>
      </c>
      <c r="AB3" s="12"/>
      <c r="AC3" s="11">
        <v>200</v>
      </c>
      <c r="AD3" s="11">
        <f>24.786324786*1.17</f>
        <v>28.999999999620002</v>
      </c>
      <c r="AE3" s="36">
        <f>AC3*AD3</f>
        <v>5799.9999999240008</v>
      </c>
      <c r="AH3" s="12"/>
      <c r="AK3" s="12"/>
      <c r="AN3" s="12"/>
    </row>
    <row r="4" spans="1:40">
      <c r="B4" s="14" t="s">
        <v>1</v>
      </c>
      <c r="C4" s="14" t="s">
        <v>3</v>
      </c>
      <c r="H4">
        <v>37</v>
      </c>
      <c r="I4" s="1">
        <f>24.786324786*1.17</f>
        <v>28.999999999620002</v>
      </c>
      <c r="J4" s="5">
        <f>917.09+155.91</f>
        <v>1073</v>
      </c>
      <c r="K4">
        <v>74</v>
      </c>
      <c r="L4" s="1">
        <v>29</v>
      </c>
      <c r="M4" s="5">
        <f>1834.19+311.81</f>
        <v>2146</v>
      </c>
      <c r="T4">
        <v>74</v>
      </c>
      <c r="U4" s="1">
        <f>24.786324786*1.17</f>
        <v>28.999999999620002</v>
      </c>
      <c r="V4" s="12">
        <f>T4*U4</f>
        <v>2145.9999999718802</v>
      </c>
      <c r="W4">
        <f>50+100</f>
        <v>150</v>
      </c>
      <c r="X4">
        <v>29</v>
      </c>
      <c r="Y4" s="35">
        <f>W4*X4</f>
        <v>4350</v>
      </c>
      <c r="AC4">
        <v>60</v>
      </c>
      <c r="AD4">
        <v>29</v>
      </c>
      <c r="AE4" s="35">
        <f>AC4*AD4</f>
        <v>1740</v>
      </c>
    </row>
    <row r="5" spans="1:40">
      <c r="C5" s="14" t="s">
        <v>23</v>
      </c>
      <c r="AL5">
        <v>200</v>
      </c>
      <c r="AM5">
        <f>24.786324786*1.17</f>
        <v>28.999999999620002</v>
      </c>
      <c r="AN5" s="5">
        <f>AL5*AM5</f>
        <v>5799.9999999240008</v>
      </c>
    </row>
    <row r="6" spans="1:40">
      <c r="C6" s="14" t="s">
        <v>26</v>
      </c>
      <c r="H6">
        <v>18</v>
      </c>
      <c r="I6" s="1">
        <f>51.282051282*1.17</f>
        <v>59.999999999939995</v>
      </c>
      <c r="J6" s="5">
        <f>923.08+156.92</f>
        <v>1080</v>
      </c>
    </row>
    <row r="7" spans="1:40">
      <c r="C7" s="14" t="s">
        <v>27</v>
      </c>
    </row>
    <row r="8" spans="1:40">
      <c r="C8" s="14" t="s">
        <v>28</v>
      </c>
      <c r="H8">
        <v>7</v>
      </c>
      <c r="I8" s="1">
        <v>60</v>
      </c>
      <c r="J8" s="5">
        <v>420</v>
      </c>
      <c r="AL8">
        <v>25</v>
      </c>
      <c r="AM8">
        <v>29</v>
      </c>
      <c r="AN8" s="5">
        <f>AL8*AM8</f>
        <v>725</v>
      </c>
    </row>
    <row r="9" spans="1:40" s="6" customFormat="1">
      <c r="A9" s="8"/>
      <c r="B9" s="16"/>
      <c r="C9" s="16"/>
      <c r="D9" s="7"/>
      <c r="F9" s="22"/>
      <c r="G9" s="8"/>
      <c r="I9" s="22"/>
      <c r="J9" s="8">
        <f>SUM(J3:J8)</f>
        <v>5473</v>
      </c>
      <c r="L9" s="22"/>
      <c r="M9" s="8">
        <f>SUM(M3:M8)</f>
        <v>7946</v>
      </c>
      <c r="O9" s="22"/>
      <c r="P9" s="8"/>
      <c r="R9" s="22"/>
      <c r="S9" s="8"/>
      <c r="U9" s="22"/>
      <c r="V9" s="8">
        <f>SUM(V3:V8)</f>
        <v>7945.999999895881</v>
      </c>
      <c r="Y9" s="37">
        <f>SUM(Y3:Y8)</f>
        <v>14499.999999867001</v>
      </c>
      <c r="AB9" s="8"/>
      <c r="AE9" s="37">
        <f>SUM(AE3:AE8)</f>
        <v>7539.9999999240008</v>
      </c>
      <c r="AH9" s="8"/>
      <c r="AK9" s="8"/>
      <c r="AN9" s="8"/>
    </row>
    <row r="10" spans="1:40">
      <c r="AN10" s="5">
        <f>SUM(AN4:AN9)</f>
        <v>6524.9999999240008</v>
      </c>
    </row>
    <row r="11" spans="1:40" s="11" customFormat="1">
      <c r="A11" s="12" t="s">
        <v>5</v>
      </c>
      <c r="B11" s="15" t="s">
        <v>6</v>
      </c>
      <c r="C11" s="15">
        <v>1.54</v>
      </c>
      <c r="D11" s="11">
        <v>600</v>
      </c>
      <c r="F11" s="21">
        <f>99.145299145*1.17</f>
        <v>115.99999999964999</v>
      </c>
      <c r="G11" s="12">
        <v>69600</v>
      </c>
      <c r="H11" s="13">
        <v>600</v>
      </c>
      <c r="I11" s="21">
        <f>100*1.17</f>
        <v>117</v>
      </c>
      <c r="J11" s="12">
        <v>70200</v>
      </c>
      <c r="L11" s="21"/>
      <c r="M11" s="12"/>
      <c r="N11" s="11">
        <v>600</v>
      </c>
      <c r="O11" s="21">
        <f>97.435897436*1.17</f>
        <v>114.00000000012</v>
      </c>
      <c r="P11" s="12">
        <f>N11*O11</f>
        <v>68400.000000072003</v>
      </c>
      <c r="R11" s="21"/>
      <c r="S11" s="12"/>
      <c r="U11" s="21"/>
      <c r="V11" s="12"/>
      <c r="W11" s="11">
        <v>600</v>
      </c>
      <c r="X11" s="11">
        <f>97.863247863*1.17</f>
        <v>114.49999999970998</v>
      </c>
      <c r="Y11" s="36">
        <f>W11*X11</f>
        <v>68699.999999825988</v>
      </c>
      <c r="Z11" s="11">
        <v>300</v>
      </c>
      <c r="AA11" s="11">
        <f>99.145299145*1.17</f>
        <v>115.99999999964999</v>
      </c>
      <c r="AB11" s="12">
        <f>Z11*AA11</f>
        <v>34799.999999894993</v>
      </c>
      <c r="AE11" s="36"/>
      <c r="AH11" s="12"/>
      <c r="AK11" s="12"/>
      <c r="AL11" s="11">
        <v>510</v>
      </c>
      <c r="AM11" s="11">
        <f>96.581196581*1.17</f>
        <v>112.99999999977</v>
      </c>
      <c r="AN11" s="12">
        <f>AL11*AM11</f>
        <v>57629.999999882697</v>
      </c>
    </row>
    <row r="12" spans="1:40">
      <c r="B12" s="14" t="s">
        <v>15</v>
      </c>
    </row>
    <row r="13" spans="1:40">
      <c r="B13" s="14" t="s">
        <v>16</v>
      </c>
      <c r="C13" s="14">
        <v>1.54</v>
      </c>
      <c r="D13">
        <v>1005</v>
      </c>
      <c r="F13" s="1">
        <f>75.213675214*1.17</f>
        <v>88.000000000379998</v>
      </c>
      <c r="G13" s="5">
        <v>88440</v>
      </c>
      <c r="H13" s="9">
        <v>510</v>
      </c>
      <c r="I13" s="1">
        <f>76.068376068*1.17</f>
        <v>88.999999999560004</v>
      </c>
      <c r="J13" s="5">
        <f>H13*I13</f>
        <v>45389.999999775602</v>
      </c>
      <c r="N13">
        <v>600</v>
      </c>
      <c r="O13" s="1">
        <f>73.504273504*1.17</f>
        <v>85.999999999679986</v>
      </c>
      <c r="P13" s="5">
        <f>N13*O13</f>
        <v>51599.999999807995</v>
      </c>
      <c r="Q13">
        <v>1005</v>
      </c>
      <c r="R13" s="1">
        <f>74.358974359*1.17</f>
        <v>87.000000000029999</v>
      </c>
      <c r="S13" s="5">
        <f>Q13*R13</f>
        <v>87435.000000030152</v>
      </c>
      <c r="W13">
        <v>600</v>
      </c>
      <c r="X13">
        <f>74.358974359*1.17</f>
        <v>87.000000000029999</v>
      </c>
      <c r="Y13" s="35">
        <f>W13*X13</f>
        <v>52200.000000018001</v>
      </c>
      <c r="Z13">
        <v>810</v>
      </c>
      <c r="AA13">
        <f>75.213675214*1.17</f>
        <v>88.000000000379998</v>
      </c>
      <c r="AB13" s="5">
        <f>Z13*AA13</f>
        <v>71280.000000307802</v>
      </c>
      <c r="AI13">
        <v>750</v>
      </c>
      <c r="AJ13">
        <f>74.358974359*1.17</f>
        <v>87.000000000029999</v>
      </c>
      <c r="AK13" s="5">
        <f>AI13*AJ13</f>
        <v>65250.000000022497</v>
      </c>
    </row>
    <row r="14" spans="1:40">
      <c r="B14" s="14" t="s">
        <v>17</v>
      </c>
      <c r="C14" s="14">
        <v>2</v>
      </c>
      <c r="D14">
        <v>20</v>
      </c>
      <c r="F14" s="1">
        <f>13.333333333*1.17</f>
        <v>15.599999999610001</v>
      </c>
      <c r="G14" s="5">
        <v>3120</v>
      </c>
      <c r="N14">
        <v>20</v>
      </c>
      <c r="O14" s="1">
        <f>129.91452991*1.17</f>
        <v>151.99999999469998</v>
      </c>
      <c r="P14" s="5">
        <f>N14*O14</f>
        <v>3039.9999998939993</v>
      </c>
      <c r="AL14">
        <v>20</v>
      </c>
      <c r="AM14">
        <f>128.20512821*1.17</f>
        <v>150.0000000057</v>
      </c>
      <c r="AN14" s="5">
        <f>AL14*AM14</f>
        <v>3000.0000001140002</v>
      </c>
    </row>
    <row r="15" spans="1:40">
      <c r="B15" s="14" t="s">
        <v>19</v>
      </c>
      <c r="D15">
        <v>5</v>
      </c>
      <c r="F15" s="1">
        <f>25.641025641*1.17</f>
        <v>29.999999999969997</v>
      </c>
      <c r="G15" s="5">
        <v>150</v>
      </c>
    </row>
    <row r="16" spans="1:40">
      <c r="B16" s="14" t="s">
        <v>39</v>
      </c>
      <c r="C16" s="14">
        <v>1.54</v>
      </c>
      <c r="D16" s="3">
        <v>20</v>
      </c>
      <c r="F16" s="23">
        <f>16.239316239*1.17</f>
        <v>18.999999999629999</v>
      </c>
      <c r="G16" s="5">
        <v>380</v>
      </c>
    </row>
    <row r="17" spans="1:40" s="6" customFormat="1">
      <c r="A17" s="8"/>
      <c r="B17" s="16"/>
      <c r="C17" s="16"/>
      <c r="F17" s="22"/>
      <c r="G17" s="8">
        <f>SUM(G11:G16)</f>
        <v>161690</v>
      </c>
      <c r="I17" s="22"/>
      <c r="J17" s="8">
        <f>SUM(J11:J16)</f>
        <v>115589.99999977561</v>
      </c>
      <c r="L17" s="22"/>
      <c r="M17" s="8"/>
      <c r="O17" s="22"/>
      <c r="P17" s="8"/>
      <c r="R17" s="22"/>
      <c r="S17" s="8">
        <f>SUM(S13:S16)</f>
        <v>87435.000000030152</v>
      </c>
      <c r="U17" s="22"/>
      <c r="V17" s="8"/>
      <c r="Y17" s="37">
        <f>SUM(Y11:Y16)</f>
        <v>120899.99999984399</v>
      </c>
      <c r="AB17" s="8">
        <f>SUM(AB11:AB16)</f>
        <v>106080.0000002028</v>
      </c>
      <c r="AE17" s="37"/>
      <c r="AH17" s="8"/>
      <c r="AK17" s="8"/>
      <c r="AN17" s="8"/>
    </row>
    <row r="18" spans="1:40" s="11" customFormat="1">
      <c r="A18" s="12" t="s">
        <v>7</v>
      </c>
      <c r="B18" s="15" t="s">
        <v>8</v>
      </c>
      <c r="C18" s="15" t="s">
        <v>9</v>
      </c>
      <c r="F18" s="21"/>
      <c r="G18" s="12"/>
      <c r="I18" s="21"/>
      <c r="J18" s="12"/>
      <c r="L18" s="21"/>
      <c r="M18" s="12"/>
      <c r="O18" s="21"/>
      <c r="P18" s="12"/>
      <c r="R18" s="21"/>
      <c r="S18" s="12"/>
      <c r="U18" s="21"/>
      <c r="V18" s="12"/>
      <c r="Y18" s="36"/>
      <c r="AB18" s="12"/>
      <c r="AE18" s="36"/>
      <c r="AH18" s="12"/>
      <c r="AK18" s="12"/>
      <c r="AN18" s="12"/>
    </row>
    <row r="19" spans="1:40">
      <c r="C19" s="14" t="s">
        <v>30</v>
      </c>
      <c r="H19">
        <v>540</v>
      </c>
      <c r="I19" s="1">
        <f>15.811965812*1.17</f>
        <v>18.50000000004</v>
      </c>
      <c r="J19" s="5">
        <f>8538.46+1451.54</f>
        <v>9990</v>
      </c>
      <c r="K19">
        <v>1380</v>
      </c>
      <c r="L19" s="1">
        <f>15.811965812*1.17</f>
        <v>18.50000000004</v>
      </c>
      <c r="M19" s="5">
        <f>21820.51+3709.49</f>
        <v>25530</v>
      </c>
      <c r="N19">
        <v>300</v>
      </c>
      <c r="O19" s="1">
        <f>15.811965812*1.17</f>
        <v>18.50000000004</v>
      </c>
      <c r="P19" s="5">
        <f>N19*O19</f>
        <v>5550.0000000119999</v>
      </c>
      <c r="Q19">
        <v>600</v>
      </c>
      <c r="R19" s="1">
        <f>15.811965812*1.17</f>
        <v>18.50000000004</v>
      </c>
      <c r="S19" s="5">
        <f>Q19*R19</f>
        <v>11100.000000024</v>
      </c>
      <c r="T19">
        <v>1020</v>
      </c>
      <c r="U19" s="1">
        <v>18.5</v>
      </c>
      <c r="V19" s="5">
        <f>854.7+145.3+15495.73+2634.27</f>
        <v>19130</v>
      </c>
      <c r="W19">
        <v>450</v>
      </c>
      <c r="X19">
        <f>15.811965812*1.17</f>
        <v>18.50000000004</v>
      </c>
      <c r="Y19" s="35">
        <f>W19*X19</f>
        <v>8325.0000000180007</v>
      </c>
      <c r="Z19">
        <v>810</v>
      </c>
      <c r="AA19">
        <f>15.811965812*1.17</f>
        <v>18.50000000004</v>
      </c>
      <c r="AB19" s="5">
        <f>Z19*AA19</f>
        <v>14985.0000000324</v>
      </c>
      <c r="AC19">
        <v>1650</v>
      </c>
      <c r="AD19">
        <f>15.811965812*1.17</f>
        <v>18.50000000004</v>
      </c>
      <c r="AE19" s="35">
        <f>AC19*AD19</f>
        <v>30525.000000066</v>
      </c>
      <c r="AF19">
        <v>600</v>
      </c>
      <c r="AG19">
        <f>15.811965812*1.17</f>
        <v>18.50000000004</v>
      </c>
      <c r="AH19" s="5">
        <f>AF19*AG19</f>
        <v>11100.000000024</v>
      </c>
      <c r="AI19">
        <v>1200</v>
      </c>
      <c r="AJ19">
        <f>15.811965812*1.17</f>
        <v>18.50000000004</v>
      </c>
      <c r="AK19" s="5">
        <f>AI19*AJ19</f>
        <v>22200.000000047999</v>
      </c>
      <c r="AL19">
        <v>390</v>
      </c>
      <c r="AM19">
        <f>15.811965812*1.17</f>
        <v>18.50000000004</v>
      </c>
      <c r="AN19" s="5">
        <f>AL19*AM19</f>
        <v>7215.0000000155997</v>
      </c>
    </row>
    <row r="20" spans="1:40">
      <c r="C20" s="14" t="s">
        <v>10</v>
      </c>
      <c r="D20">
        <v>90</v>
      </c>
      <c r="F20" s="1">
        <f>15.811965812*1.17</f>
        <v>18.50000000004</v>
      </c>
      <c r="G20" s="5">
        <f>1423.08+241.92</f>
        <v>1665</v>
      </c>
      <c r="H20">
        <v>30</v>
      </c>
      <c r="I20" s="1">
        <v>18.5</v>
      </c>
      <c r="J20" s="5">
        <f>474.36+80.64</f>
        <v>555</v>
      </c>
      <c r="N20">
        <v>60</v>
      </c>
      <c r="O20" s="1">
        <v>18.5</v>
      </c>
      <c r="P20" s="5">
        <f>17.5*60</f>
        <v>1050</v>
      </c>
      <c r="Q20">
        <f>90+60</f>
        <v>150</v>
      </c>
      <c r="R20" s="1">
        <f>15.811965812*1.17</f>
        <v>18.50000000004</v>
      </c>
      <c r="S20" s="5">
        <f>1423.08+241.92+1000+170</f>
        <v>2835</v>
      </c>
      <c r="Z20">
        <v>150</v>
      </c>
      <c r="AA20">
        <f>18.5</f>
        <v>18.5</v>
      </c>
      <c r="AB20" s="5">
        <f>Z20*AA20</f>
        <v>2775</v>
      </c>
      <c r="AE20" s="35">
        <f t="shared" ref="AE20:AE28" si="0">AC20*AD20</f>
        <v>0</v>
      </c>
      <c r="AH20" s="5">
        <f t="shared" ref="AH20:AH28" si="1">AF20*AG20</f>
        <v>0</v>
      </c>
    </row>
    <row r="21" spans="1:40">
      <c r="C21" s="14" t="s">
        <v>25</v>
      </c>
      <c r="P21" s="5">
        <f>N21*O21</f>
        <v>0</v>
      </c>
      <c r="S21" s="5">
        <f t="shared" ref="S21:S28" si="2">Q21*R21</f>
        <v>0</v>
      </c>
      <c r="AE21" s="35">
        <f t="shared" si="0"/>
        <v>0</v>
      </c>
      <c r="AH21" s="5">
        <f t="shared" si="1"/>
        <v>0</v>
      </c>
    </row>
    <row r="22" spans="1:40">
      <c r="C22" s="14" t="s">
        <v>11</v>
      </c>
      <c r="D22">
        <v>30</v>
      </c>
      <c r="F22" s="1">
        <f>15.811965812*1.17</f>
        <v>18.50000000004</v>
      </c>
      <c r="G22" s="5">
        <f>474.36+80.64</f>
        <v>555</v>
      </c>
      <c r="H22">
        <f>162+12</f>
        <v>174</v>
      </c>
      <c r="I22" s="1">
        <f>18.5</f>
        <v>18.5</v>
      </c>
      <c r="J22" s="5">
        <f>2561.54+435.46+189.74+32.26</f>
        <v>3219</v>
      </c>
      <c r="K22">
        <v>456</v>
      </c>
      <c r="L22" s="1">
        <v>18.5</v>
      </c>
      <c r="M22" s="5">
        <f>7210.26+1225.74</f>
        <v>8436</v>
      </c>
      <c r="N22">
        <v>120</v>
      </c>
      <c r="O22" s="1">
        <v>18.5</v>
      </c>
      <c r="P22" s="5">
        <f>2196</f>
        <v>2196</v>
      </c>
      <c r="Q22" s="9">
        <f>24+24+180</f>
        <v>228</v>
      </c>
      <c r="R22" s="24">
        <v>18.5</v>
      </c>
      <c r="S22" s="5">
        <f>379.49+64.51+400+68+2846.15+483.85</f>
        <v>4242</v>
      </c>
      <c r="T22">
        <v>330</v>
      </c>
      <c r="U22" s="1">
        <v>18.5</v>
      </c>
      <c r="V22" s="5">
        <f>U22*T22</f>
        <v>6105</v>
      </c>
      <c r="W22" s="9">
        <f>39+135</f>
        <v>174</v>
      </c>
      <c r="X22">
        <f>15.811965812*1.17</f>
        <v>18.50000000004</v>
      </c>
      <c r="Y22" s="35">
        <f>616.67+104.83+2019.23+343.27</f>
        <v>3084</v>
      </c>
      <c r="Z22">
        <f>258+54</f>
        <v>312</v>
      </c>
      <c r="AA22">
        <f>15.811965812*1.17</f>
        <v>18.50000000004</v>
      </c>
      <c r="AB22" s="5">
        <f>Z22*AA22</f>
        <v>5772.0000000124801</v>
      </c>
      <c r="AC22">
        <v>582</v>
      </c>
      <c r="AD22">
        <v>18.5</v>
      </c>
      <c r="AE22" s="35">
        <f t="shared" si="0"/>
        <v>10767</v>
      </c>
      <c r="AF22">
        <v>192</v>
      </c>
      <c r="AG22">
        <v>18.5</v>
      </c>
      <c r="AH22" s="5">
        <f t="shared" si="1"/>
        <v>3552</v>
      </c>
      <c r="AI22" s="9">
        <v>402</v>
      </c>
      <c r="AJ22">
        <f>18.5</f>
        <v>18.5</v>
      </c>
      <c r="AK22" s="5">
        <f>AI22*AJ22</f>
        <v>7437</v>
      </c>
      <c r="AL22">
        <v>114</v>
      </c>
      <c r="AM22">
        <v>18.5</v>
      </c>
      <c r="AN22" s="5">
        <f>AL22*AM22</f>
        <v>2109</v>
      </c>
    </row>
    <row r="23" spans="1:40">
      <c r="C23" s="14" t="s">
        <v>12</v>
      </c>
      <c r="N23">
        <v>125</v>
      </c>
      <c r="O23" s="1">
        <f>2.5641025641*1.17</f>
        <v>2.9999999999970002</v>
      </c>
      <c r="P23" s="5">
        <f>N23*O23</f>
        <v>374.999999999625</v>
      </c>
      <c r="S23" s="5">
        <f t="shared" si="2"/>
        <v>0</v>
      </c>
      <c r="W23">
        <v>200</v>
      </c>
      <c r="X23">
        <f>2.5641025641*1.17</f>
        <v>2.9999999999970002</v>
      </c>
      <c r="Y23" s="35">
        <v>600</v>
      </c>
      <c r="AE23" s="35">
        <f t="shared" si="0"/>
        <v>0</v>
      </c>
      <c r="AF23">
        <v>125</v>
      </c>
      <c r="AG23">
        <f>2.5641025641*1.17</f>
        <v>2.9999999999970002</v>
      </c>
      <c r="AH23" s="5">
        <f t="shared" si="1"/>
        <v>374.999999999625</v>
      </c>
    </row>
    <row r="24" spans="1:40">
      <c r="C24" s="14" t="s">
        <v>13</v>
      </c>
      <c r="P24" s="5">
        <f>N24*O24</f>
        <v>0</v>
      </c>
      <c r="S24" s="5">
        <f t="shared" si="2"/>
        <v>0</v>
      </c>
      <c r="AE24" s="35">
        <f t="shared" si="0"/>
        <v>0</v>
      </c>
      <c r="AH24" s="5">
        <f t="shared" si="1"/>
        <v>0</v>
      </c>
    </row>
    <row r="25" spans="1:40">
      <c r="C25" s="14" t="s">
        <v>29</v>
      </c>
      <c r="D25">
        <v>600</v>
      </c>
      <c r="F25" s="1">
        <f>14.957264957*1.17</f>
        <v>17.499999999689997</v>
      </c>
      <c r="G25" s="5">
        <f>8974.36+1525.64</f>
        <v>10500</v>
      </c>
      <c r="H25">
        <v>120</v>
      </c>
      <c r="I25" s="1">
        <f>14.957264957*1.17</f>
        <v>17.499999999689997</v>
      </c>
      <c r="J25" s="5">
        <f>1794.87+305.13</f>
        <v>2100</v>
      </c>
      <c r="N25">
        <v>300</v>
      </c>
      <c r="O25" s="1">
        <f>14.957264957*1.17</f>
        <v>17.499999999689997</v>
      </c>
      <c r="P25" s="5">
        <f>N25*O25</f>
        <v>5249.9999999069996</v>
      </c>
      <c r="Q25">
        <v>300</v>
      </c>
      <c r="R25" s="1">
        <f>14.957264957*1.17</f>
        <v>17.499999999689997</v>
      </c>
      <c r="S25" s="5">
        <f t="shared" si="2"/>
        <v>5249.9999999069996</v>
      </c>
      <c r="AC25">
        <v>150</v>
      </c>
      <c r="AD25">
        <f>14.957264957*1.17</f>
        <v>17.499999999689997</v>
      </c>
      <c r="AE25" s="35">
        <f t="shared" si="0"/>
        <v>2624.9999999534998</v>
      </c>
      <c r="AH25" s="5">
        <f t="shared" si="1"/>
        <v>0</v>
      </c>
      <c r="AI25">
        <v>330</v>
      </c>
      <c r="AJ25">
        <f>14.957264957*1.17</f>
        <v>17.499999999689997</v>
      </c>
      <c r="AK25" s="5">
        <f>AI25*AJ25</f>
        <v>5774.9999998976991</v>
      </c>
      <c r="AL25">
        <v>300</v>
      </c>
      <c r="AM25">
        <f>14.957264957*1.17</f>
        <v>17.499999999689997</v>
      </c>
      <c r="AN25" s="5">
        <f>AL25*AM25</f>
        <v>5249.9999999069996</v>
      </c>
    </row>
    <row r="26" spans="1:40">
      <c r="C26" s="14" t="s">
        <v>14</v>
      </c>
      <c r="D26">
        <v>150</v>
      </c>
      <c r="F26" s="1">
        <f>14.957264957*1.17</f>
        <v>17.499999999689997</v>
      </c>
      <c r="G26" s="5">
        <f>2243.59+381.41</f>
        <v>2625</v>
      </c>
      <c r="H26">
        <v>30</v>
      </c>
      <c r="I26" s="1">
        <f>17.5</f>
        <v>17.5</v>
      </c>
      <c r="J26" s="5">
        <f>448.72+76.28</f>
        <v>525</v>
      </c>
      <c r="N26">
        <v>78</v>
      </c>
      <c r="O26" s="1">
        <v>17.5</v>
      </c>
      <c r="P26" s="5">
        <f>N26*O26</f>
        <v>1365</v>
      </c>
      <c r="Q26">
        <v>48</v>
      </c>
      <c r="R26" s="1">
        <v>17.5</v>
      </c>
      <c r="S26" s="5">
        <f t="shared" si="2"/>
        <v>840</v>
      </c>
      <c r="AC26">
        <v>78</v>
      </c>
      <c r="AD26">
        <f>17.5</f>
        <v>17.5</v>
      </c>
      <c r="AE26" s="35">
        <f t="shared" si="0"/>
        <v>1365</v>
      </c>
      <c r="AH26" s="5">
        <f t="shared" si="1"/>
        <v>0</v>
      </c>
      <c r="AI26">
        <v>18</v>
      </c>
      <c r="AJ26">
        <v>17.5</v>
      </c>
      <c r="AK26" s="5">
        <f>AJ26*AI26</f>
        <v>315</v>
      </c>
      <c r="AL26">
        <v>90</v>
      </c>
      <c r="AM26">
        <v>17.5</v>
      </c>
      <c r="AN26" s="5">
        <f>AL26*AM26</f>
        <v>1575</v>
      </c>
    </row>
    <row r="27" spans="1:40">
      <c r="C27" s="14" t="s">
        <v>154</v>
      </c>
      <c r="T27">
        <v>5</v>
      </c>
      <c r="U27" s="1">
        <f>21.367521368*1.17</f>
        <v>25.000000000559996</v>
      </c>
      <c r="V27" s="5">
        <f>U27*T27</f>
        <v>125.00000000279998</v>
      </c>
      <c r="AE27" s="35">
        <f t="shared" si="0"/>
        <v>0</v>
      </c>
      <c r="AH27" s="5">
        <f t="shared" si="1"/>
        <v>0</v>
      </c>
    </row>
    <row r="28" spans="1:40">
      <c r="C28" s="14" t="s">
        <v>18</v>
      </c>
      <c r="D28">
        <v>160</v>
      </c>
      <c r="F28" s="1">
        <f>4.2735042735*1.17</f>
        <v>4.9999999999950004</v>
      </c>
      <c r="G28" s="5">
        <f>683.76+116.24</f>
        <v>800</v>
      </c>
      <c r="Q28">
        <v>200</v>
      </c>
      <c r="R28" s="1">
        <f>4.2735042735*1.17</f>
        <v>4.9999999999950004</v>
      </c>
      <c r="S28" s="5">
        <f t="shared" si="2"/>
        <v>999.99999999900012</v>
      </c>
      <c r="AC28">
        <v>160</v>
      </c>
      <c r="AD28">
        <f>4.2735042735*1.17</f>
        <v>4.9999999999950004</v>
      </c>
      <c r="AE28" s="35">
        <f t="shared" si="0"/>
        <v>799.9999999992001</v>
      </c>
      <c r="AF28">
        <v>120</v>
      </c>
      <c r="AG28">
        <f>4.2735042735*1.17</f>
        <v>4.9999999999950004</v>
      </c>
      <c r="AH28" s="5">
        <f t="shared" si="1"/>
        <v>599.99999999940007</v>
      </c>
    </row>
    <row r="29" spans="1:40" s="6" customFormat="1">
      <c r="A29" s="8"/>
      <c r="B29" s="16"/>
      <c r="C29" s="16"/>
      <c r="D29" s="7"/>
      <c r="F29" s="22"/>
      <c r="G29" s="8">
        <f>SUM(G18:G28)</f>
        <v>16145</v>
      </c>
      <c r="I29" s="22"/>
      <c r="J29" s="8">
        <f>SUM(J18:J28)</f>
        <v>16389</v>
      </c>
      <c r="L29" s="22"/>
      <c r="M29" s="8">
        <f>SUM(M18:M28)</f>
        <v>33966</v>
      </c>
      <c r="O29" s="22"/>
      <c r="P29" s="8">
        <f>SUM(P19:P28)</f>
        <v>15785.999999918626</v>
      </c>
      <c r="R29" s="22"/>
      <c r="S29" s="8">
        <f>SUM(S18:S28)</f>
        <v>25266.999999929998</v>
      </c>
      <c r="U29" s="22"/>
      <c r="V29" s="8">
        <f>SUM(V18:V28)</f>
        <v>25360.000000002801</v>
      </c>
      <c r="Y29" s="37">
        <f>SUM(Y18:Y28)</f>
        <v>12009.000000018001</v>
      </c>
      <c r="AB29" s="8">
        <f>SUM(AB18:AB28)</f>
        <v>23532.000000044878</v>
      </c>
      <c r="AE29" s="37">
        <f>SUM(AE19:AE28)</f>
        <v>46082.000000018699</v>
      </c>
      <c r="AH29" s="8">
        <f>SUM(AH19:AH28)</f>
        <v>15627.000000023025</v>
      </c>
      <c r="AK29" s="8">
        <f>SUM(AK19:AK28)</f>
        <v>35726.9999999457</v>
      </c>
      <c r="AN29" s="8">
        <f>SUM(AN19:AN28)</f>
        <v>16148.999999922598</v>
      </c>
    </row>
    <row r="31" spans="1:40" s="11" customFormat="1">
      <c r="A31" s="12" t="s">
        <v>20</v>
      </c>
      <c r="B31" s="15" t="s">
        <v>21</v>
      </c>
      <c r="C31" s="15">
        <v>1.54</v>
      </c>
      <c r="F31" s="21"/>
      <c r="G31" s="12"/>
      <c r="I31" s="21"/>
      <c r="J31" s="12"/>
      <c r="K31" s="11">
        <v>510</v>
      </c>
      <c r="L31" s="21">
        <f>80.769230769*1.17</f>
        <v>94.499999999729994</v>
      </c>
      <c r="M31" s="12">
        <v>48195</v>
      </c>
      <c r="O31" s="21"/>
      <c r="P31" s="12"/>
      <c r="R31" s="21"/>
      <c r="S31" s="12"/>
      <c r="U31" s="21"/>
      <c r="V31" s="12"/>
      <c r="Y31" s="36"/>
      <c r="AB31" s="12"/>
      <c r="AE31" s="36"/>
      <c r="AH31" s="12"/>
      <c r="AK31" s="12"/>
      <c r="AN31" s="12"/>
    </row>
    <row r="32" spans="1:40">
      <c r="B32" s="14" t="s">
        <v>22</v>
      </c>
      <c r="C32" s="14">
        <v>1.54</v>
      </c>
      <c r="T32">
        <v>450</v>
      </c>
      <c r="U32" s="1">
        <f>101.70940171*1.17</f>
        <v>119.00000000069998</v>
      </c>
      <c r="V32" s="5">
        <f>T32*U32</f>
        <v>53550.000000314991</v>
      </c>
      <c r="AC32">
        <v>510</v>
      </c>
      <c r="AD32">
        <f>100.85470085*1.17</f>
        <v>117.99999999449999</v>
      </c>
      <c r="AE32" s="35">
        <f>AC32*AD32</f>
        <v>60179.999997194995</v>
      </c>
    </row>
    <row r="33" spans="1:40">
      <c r="B33" s="14" t="s">
        <v>16</v>
      </c>
      <c r="C33" s="14">
        <v>1.54</v>
      </c>
      <c r="D33">
        <v>270</v>
      </c>
      <c r="F33" s="1" t="s">
        <v>144</v>
      </c>
      <c r="G33" s="5">
        <v>18720</v>
      </c>
      <c r="T33">
        <v>300</v>
      </c>
      <c r="U33" s="1">
        <f>58.11965812*1.17</f>
        <v>68.000000000399993</v>
      </c>
      <c r="V33" s="5">
        <f>T33*U33</f>
        <v>20400.000000119999</v>
      </c>
      <c r="W33">
        <v>600</v>
      </c>
      <c r="X33">
        <f>58.11965812*1.17</f>
        <v>68.000000000399993</v>
      </c>
      <c r="Y33" s="35">
        <f>W33*X33</f>
        <v>40800.000000239997</v>
      </c>
    </row>
    <row r="34" spans="1:40">
      <c r="B34" s="14" t="s">
        <v>21</v>
      </c>
      <c r="C34" s="14">
        <v>1.6</v>
      </c>
    </row>
    <row r="35" spans="1:40">
      <c r="B35" s="14" t="s">
        <v>22</v>
      </c>
      <c r="C35" s="14">
        <v>1.6</v>
      </c>
    </row>
    <row r="36" spans="1:40" s="32" customFormat="1">
      <c r="A36" s="29"/>
      <c r="B36" s="28" t="s">
        <v>155</v>
      </c>
      <c r="C36" s="30">
        <v>1.54</v>
      </c>
      <c r="D36" s="31"/>
      <c r="F36" s="33"/>
      <c r="G36" s="34">
        <f>SUM(G31:G35)</f>
        <v>18720</v>
      </c>
      <c r="I36" s="31"/>
      <c r="J36" s="34"/>
      <c r="L36" s="31"/>
      <c r="M36" s="34"/>
      <c r="O36" s="31"/>
      <c r="P36" s="34"/>
      <c r="R36" s="31"/>
      <c r="S36" s="34"/>
      <c r="T36" s="32">
        <v>30</v>
      </c>
      <c r="U36" s="31">
        <f>18.803418803*1.17</f>
        <v>21.999999999509999</v>
      </c>
      <c r="V36" s="34">
        <f>T36*U36</f>
        <v>659.99999998529995</v>
      </c>
      <c r="Y36" s="38"/>
      <c r="AB36" s="34"/>
      <c r="AE36" s="38"/>
      <c r="AH36" s="34"/>
      <c r="AK36" s="34"/>
      <c r="AN36" s="34"/>
    </row>
    <row r="37" spans="1:40">
      <c r="V37" s="5">
        <f>SUM(V31:V36)</f>
        <v>74610.000000420288</v>
      </c>
      <c r="Y37" s="35">
        <f>SUM(Y33:Y36)</f>
        <v>40800.000000239997</v>
      </c>
    </row>
    <row r="38" spans="1:40" s="11" customFormat="1">
      <c r="A38" s="12" t="s">
        <v>40</v>
      </c>
      <c r="B38" s="15" t="s">
        <v>41</v>
      </c>
      <c r="C38" s="15" t="s">
        <v>42</v>
      </c>
      <c r="D38" s="11">
        <v>240</v>
      </c>
      <c r="F38" s="21">
        <f>20.512820513*1.17</f>
        <v>24.000000000210001</v>
      </c>
      <c r="G38" s="12">
        <v>5760</v>
      </c>
      <c r="I38" s="21"/>
      <c r="J38" s="12"/>
      <c r="L38" s="21"/>
      <c r="M38" s="12"/>
      <c r="O38" s="21"/>
      <c r="P38" s="12"/>
      <c r="R38" s="21"/>
      <c r="S38" s="12"/>
      <c r="U38" s="21"/>
      <c r="V38" s="12"/>
      <c r="Y38" s="36"/>
      <c r="AB38" s="12"/>
      <c r="AE38" s="36"/>
      <c r="AH38" s="12"/>
      <c r="AK38" s="12"/>
      <c r="AN38" s="12"/>
    </row>
    <row r="43" spans="1:40" s="11" customFormat="1">
      <c r="A43" s="12" t="s">
        <v>43</v>
      </c>
      <c r="B43" s="15" t="s">
        <v>44</v>
      </c>
      <c r="C43" s="15"/>
      <c r="D43" s="11">
        <v>298</v>
      </c>
      <c r="F43" s="21">
        <f>19.658119658*1.17</f>
        <v>22.999999999859998</v>
      </c>
      <c r="G43" s="12">
        <f>5858.12+995.88</f>
        <v>6854</v>
      </c>
      <c r="H43" s="11">
        <v>164</v>
      </c>
      <c r="I43" s="21">
        <f>19.658119658*1.17</f>
        <v>22.999999999859998</v>
      </c>
      <c r="J43" s="12">
        <f>3223.93+548.07</f>
        <v>3772</v>
      </c>
      <c r="K43" s="11">
        <v>427</v>
      </c>
      <c r="L43" s="21">
        <f>19.658119658*1.17</f>
        <v>22.999999999859998</v>
      </c>
      <c r="M43" s="12">
        <f>8394.02+1426.98</f>
        <v>9821</v>
      </c>
      <c r="N43" s="11">
        <v>238</v>
      </c>
      <c r="O43" s="21">
        <f>19.658119658*1.17</f>
        <v>22.999999999859998</v>
      </c>
      <c r="P43" s="12">
        <f t="shared" ref="P43:P49" si="3">N43*O43</f>
        <v>5473.9999999666798</v>
      </c>
      <c r="Q43" s="11">
        <v>260</v>
      </c>
      <c r="R43" s="21">
        <f>19.658119658*1.17</f>
        <v>22.999999999859998</v>
      </c>
      <c r="S43" s="12">
        <f>Q43*R43</f>
        <v>5979.9999999635993</v>
      </c>
      <c r="T43" s="11">
        <v>262</v>
      </c>
      <c r="U43" s="21">
        <f>19.658119658*1.17</f>
        <v>22.999999999859998</v>
      </c>
      <c r="V43" s="12">
        <f>T43*U43</f>
        <v>6025.9999999633192</v>
      </c>
      <c r="W43" s="11">
        <v>313</v>
      </c>
      <c r="X43" s="11">
        <f>19.658119658*1.17</f>
        <v>22.999999999859998</v>
      </c>
      <c r="Y43" s="36">
        <f>W43*X43</f>
        <v>7198.9999999561796</v>
      </c>
      <c r="Z43" s="11">
        <v>606</v>
      </c>
      <c r="AA43" s="11">
        <f>19.658119658*1.17</f>
        <v>22.999999999859998</v>
      </c>
      <c r="AB43" s="12">
        <f>Z43*AA43</f>
        <v>13937.999999915159</v>
      </c>
      <c r="AC43" s="11">
        <v>316</v>
      </c>
      <c r="AD43" s="11">
        <v>23</v>
      </c>
      <c r="AE43" s="36">
        <f>AC43*AD43</f>
        <v>7268</v>
      </c>
      <c r="AF43" s="11">
        <v>210</v>
      </c>
      <c r="AG43" s="11">
        <f>19.658119658*1.17</f>
        <v>22.999999999859998</v>
      </c>
      <c r="AH43" s="12">
        <f>AF43*AG43</f>
        <v>4829.9999999705997</v>
      </c>
      <c r="AI43" s="11">
        <v>315</v>
      </c>
      <c r="AJ43" s="11">
        <f>19.658119658*1.17</f>
        <v>22.999999999859998</v>
      </c>
      <c r="AK43" s="12">
        <f>AI43*AJ43</f>
        <v>7244.9999999558995</v>
      </c>
      <c r="AL43" s="11">
        <v>314</v>
      </c>
      <c r="AM43" s="11">
        <f>19.658119658*1.17</f>
        <v>22.999999999859998</v>
      </c>
      <c r="AN43" s="12">
        <f>AL43*AM43</f>
        <v>7221.9999999560396</v>
      </c>
    </row>
    <row r="44" spans="1:40">
      <c r="B44" s="14" t="s">
        <v>132</v>
      </c>
      <c r="H44">
        <v>53</v>
      </c>
      <c r="I44" s="1">
        <v>23</v>
      </c>
      <c r="J44" s="5">
        <f>1041.88+177.12</f>
        <v>1219</v>
      </c>
      <c r="N44">
        <v>106</v>
      </c>
      <c r="O44" s="1">
        <f>19.658119658*1.17</f>
        <v>22.999999999859998</v>
      </c>
      <c r="P44" s="5">
        <f t="shared" si="3"/>
        <v>2437.9999999851598</v>
      </c>
      <c r="Q44">
        <v>53</v>
      </c>
      <c r="R44" s="1">
        <v>23</v>
      </c>
      <c r="S44" s="5">
        <f>Q44*R44</f>
        <v>1219</v>
      </c>
      <c r="T44">
        <v>53</v>
      </c>
      <c r="U44" s="1">
        <f>19.658119658*1.17</f>
        <v>22.999999999859998</v>
      </c>
      <c r="V44" s="12">
        <f>T44*U44</f>
        <v>1218.9999999925799</v>
      </c>
      <c r="W44">
        <v>159</v>
      </c>
      <c r="X44">
        <f>19.658119658*1.17</f>
        <v>22.999999999859998</v>
      </c>
      <c r="Y44" s="35">
        <f>W44*X44</f>
        <v>3656.9999999777397</v>
      </c>
      <c r="AC44">
        <v>53</v>
      </c>
      <c r="AD44">
        <v>23</v>
      </c>
      <c r="AE44" s="35">
        <f>AC44*AD44</f>
        <v>1219</v>
      </c>
      <c r="AF44">
        <v>106</v>
      </c>
      <c r="AG44">
        <v>23</v>
      </c>
      <c r="AH44" s="12">
        <f t="shared" ref="AH44:AH49" si="4">AF44*AG44</f>
        <v>2438</v>
      </c>
      <c r="AI44" s="9">
        <v>106</v>
      </c>
      <c r="AJ44" s="9">
        <v>23</v>
      </c>
      <c r="AK44" s="12">
        <f>AI44*AJ44</f>
        <v>2438</v>
      </c>
      <c r="AL44" s="9">
        <v>83</v>
      </c>
      <c r="AM44" s="9">
        <v>23</v>
      </c>
      <c r="AN44" s="5">
        <f>AL44*AM44</f>
        <v>1909</v>
      </c>
    </row>
    <row r="45" spans="1:40">
      <c r="B45" s="14" t="s">
        <v>45</v>
      </c>
      <c r="D45">
        <v>250</v>
      </c>
      <c r="F45" s="1">
        <f>17.948717949*1.17</f>
        <v>21.000000000329997</v>
      </c>
      <c r="G45" s="5">
        <f>4487.18+762.82</f>
        <v>5250</v>
      </c>
      <c r="K45">
        <v>250</v>
      </c>
      <c r="L45" s="1">
        <f>17.948717949*1.17</f>
        <v>21.000000000329997</v>
      </c>
      <c r="M45" s="5">
        <f>4487.18+762.82</f>
        <v>5250</v>
      </c>
      <c r="N45">
        <v>150</v>
      </c>
      <c r="O45" s="1">
        <f>17.948717949*1.17</f>
        <v>21.000000000329997</v>
      </c>
      <c r="P45" s="5">
        <f t="shared" si="3"/>
        <v>3150.0000000494997</v>
      </c>
      <c r="T45">
        <v>250</v>
      </c>
      <c r="U45" s="1">
        <f>17.948717949*1.17</f>
        <v>21.000000000329997</v>
      </c>
      <c r="V45" s="12">
        <f>T45*U45</f>
        <v>5250.0000000824994</v>
      </c>
      <c r="W45">
        <v>175</v>
      </c>
      <c r="X45">
        <f>17.948717949*1.17</f>
        <v>21.000000000329997</v>
      </c>
      <c r="Y45" s="35">
        <f>W45*X45</f>
        <v>3675.0000000577497</v>
      </c>
      <c r="Z45">
        <v>250</v>
      </c>
      <c r="AA45">
        <f>17.948717949*1.17</f>
        <v>21.000000000329997</v>
      </c>
      <c r="AB45" s="5">
        <f>Z45*AA45</f>
        <v>5250.0000000824994</v>
      </c>
      <c r="AF45">
        <v>250</v>
      </c>
      <c r="AG45">
        <f>17.948717949*1.17</f>
        <v>21.000000000329997</v>
      </c>
      <c r="AH45" s="12">
        <f t="shared" si="4"/>
        <v>5250.0000000824994</v>
      </c>
      <c r="AI45">
        <v>250</v>
      </c>
      <c r="AJ45">
        <f>17.948717949*1.17</f>
        <v>21.000000000329997</v>
      </c>
      <c r="AK45" s="12">
        <f>AI45*AJ45</f>
        <v>5250.0000000824994</v>
      </c>
      <c r="AL45">
        <v>302</v>
      </c>
      <c r="AM45">
        <f>17.948717949*1.17</f>
        <v>21.000000000329997</v>
      </c>
      <c r="AN45" s="5">
        <f>AL45*AM45</f>
        <v>6342.0000000996588</v>
      </c>
    </row>
    <row r="46" spans="1:40">
      <c r="B46" s="14" t="s">
        <v>46</v>
      </c>
      <c r="D46">
        <v>320</v>
      </c>
      <c r="F46" s="1">
        <f>14.52991453*1.17</f>
        <v>17.000000000099998</v>
      </c>
      <c r="G46" s="5">
        <f>4649.57+790.43</f>
        <v>5440</v>
      </c>
      <c r="K46">
        <v>200</v>
      </c>
      <c r="L46" s="1">
        <f>14.52991453*1.17</f>
        <v>17.000000000099998</v>
      </c>
      <c r="M46" s="5">
        <f>2905.98+494.02</f>
        <v>3400</v>
      </c>
      <c r="N46">
        <v>200</v>
      </c>
      <c r="O46" s="1">
        <f>14.52991453*1.17</f>
        <v>17.000000000099998</v>
      </c>
      <c r="P46" s="5">
        <f t="shared" si="3"/>
        <v>3400.0000000199998</v>
      </c>
      <c r="T46">
        <v>260</v>
      </c>
      <c r="U46" s="1">
        <f>14.52991453*1.17</f>
        <v>17.000000000099998</v>
      </c>
      <c r="V46" s="12">
        <f>T46*U46</f>
        <v>4420.0000000259997</v>
      </c>
      <c r="W46">
        <v>301</v>
      </c>
      <c r="X46">
        <f>14.52991453*1.17</f>
        <v>17.000000000099998</v>
      </c>
      <c r="Y46" s="35">
        <f>W46*X46</f>
        <v>5117.0000000300997</v>
      </c>
      <c r="Z46">
        <v>378</v>
      </c>
      <c r="AA46">
        <f>14.52991453*1.17</f>
        <v>17.000000000099998</v>
      </c>
      <c r="AB46" s="5">
        <f>Z46*AA46</f>
        <v>6426.0000000377995</v>
      </c>
      <c r="AF46">
        <v>220</v>
      </c>
      <c r="AG46">
        <f>14.52991453*1.17</f>
        <v>17.000000000099998</v>
      </c>
      <c r="AH46" s="12">
        <f t="shared" si="4"/>
        <v>3740.0000000219998</v>
      </c>
      <c r="AI46">
        <v>308</v>
      </c>
      <c r="AJ46">
        <f>14.52991453*1.17</f>
        <v>17.000000000099998</v>
      </c>
      <c r="AK46" s="12">
        <f>AI46*AJ46</f>
        <v>5236.0000000307991</v>
      </c>
      <c r="AL46">
        <v>110</v>
      </c>
      <c r="AM46">
        <f>14.52991453*1.17</f>
        <v>17.000000000099998</v>
      </c>
      <c r="AN46" s="5">
        <f>AM46*AL46</f>
        <v>1870.0000000109999</v>
      </c>
    </row>
    <row r="47" spans="1:40">
      <c r="B47" s="14" t="s">
        <v>133</v>
      </c>
      <c r="K47">
        <v>189</v>
      </c>
      <c r="L47" s="1">
        <f>17.948717949*1.17</f>
        <v>21.000000000329997</v>
      </c>
      <c r="M47" s="5">
        <f>3392.31+576.69</f>
        <v>3969</v>
      </c>
      <c r="P47" s="5">
        <f t="shared" si="3"/>
        <v>0</v>
      </c>
      <c r="AH47" s="12">
        <f t="shared" si="4"/>
        <v>0</v>
      </c>
    </row>
    <row r="48" spans="1:40">
      <c r="B48" s="17">
        <v>501</v>
      </c>
      <c r="K48">
        <v>19</v>
      </c>
      <c r="L48" s="1">
        <f>25.641025641*1.17</f>
        <v>29.999999999969997</v>
      </c>
      <c r="M48" s="5">
        <f>487.18+82.82</f>
        <v>570</v>
      </c>
      <c r="N48">
        <v>21</v>
      </c>
      <c r="O48" s="1">
        <f>25.641025641*1.17</f>
        <v>29.999999999969997</v>
      </c>
      <c r="P48" s="5">
        <f t="shared" si="3"/>
        <v>629.99999999936995</v>
      </c>
      <c r="Z48">
        <v>44</v>
      </c>
      <c r="AA48">
        <f>25.641025641*1.17</f>
        <v>29.999999999969997</v>
      </c>
      <c r="AB48" s="5">
        <f>Z48*AA48</f>
        <v>1319.9999999986799</v>
      </c>
      <c r="AF48">
        <v>22</v>
      </c>
      <c r="AG48">
        <f>25.641025641*1.17</f>
        <v>29.999999999969997</v>
      </c>
      <c r="AH48" s="12">
        <f t="shared" si="4"/>
        <v>659.99999999933993</v>
      </c>
      <c r="AI48">
        <v>22</v>
      </c>
      <c r="AJ48">
        <f>25.641025641*1.17</f>
        <v>29.999999999969997</v>
      </c>
      <c r="AK48" s="5">
        <f>AI48*AJ48</f>
        <v>659.99999999933993</v>
      </c>
      <c r="AL48">
        <v>22</v>
      </c>
      <c r="AM48">
        <f>25.641025641*1.17</f>
        <v>29.999999999969997</v>
      </c>
      <c r="AN48" s="5">
        <f>AL48*AM48</f>
        <v>659.99999999933993</v>
      </c>
    </row>
    <row r="49" spans="1:40">
      <c r="B49" s="14" t="s">
        <v>47</v>
      </c>
      <c r="D49">
        <v>278</v>
      </c>
      <c r="F49" s="1">
        <f>17.948717949*1.17</f>
        <v>21.000000000329997</v>
      </c>
      <c r="G49" s="5">
        <f>4989.74+848.26</f>
        <v>5838</v>
      </c>
      <c r="N49">
        <v>130</v>
      </c>
      <c r="O49" s="1">
        <f>17.948717949*1.17</f>
        <v>21.000000000329997</v>
      </c>
      <c r="P49" s="5">
        <f t="shared" si="3"/>
        <v>2730.0000000428995</v>
      </c>
      <c r="W49">
        <v>156</v>
      </c>
      <c r="X49">
        <f>17.948717949*1.17</f>
        <v>21.000000000329997</v>
      </c>
      <c r="Y49" s="35">
        <f>W49*X49</f>
        <v>3276.0000000514797</v>
      </c>
      <c r="Z49">
        <v>208</v>
      </c>
      <c r="AA49">
        <f>17.948717949*1.17</f>
        <v>21.000000000329997</v>
      </c>
      <c r="AB49" s="5">
        <f>Z49*AA49</f>
        <v>4368.0000000686396</v>
      </c>
      <c r="AF49">
        <v>206</v>
      </c>
      <c r="AG49">
        <v>21</v>
      </c>
      <c r="AH49" s="12">
        <f t="shared" si="4"/>
        <v>4326</v>
      </c>
      <c r="AI49">
        <v>182</v>
      </c>
      <c r="AJ49">
        <f>17.948717949*1.17</f>
        <v>21.000000000329997</v>
      </c>
      <c r="AK49" s="5">
        <f>AI49*AJ49</f>
        <v>3822.0000000600594</v>
      </c>
    </row>
    <row r="50" spans="1:40" s="6" customFormat="1">
      <c r="A50" s="8"/>
      <c r="B50" s="16"/>
      <c r="C50" s="16"/>
      <c r="F50" s="22"/>
      <c r="G50" s="8">
        <f>SUM(G43:G49)</f>
        <v>23382</v>
      </c>
      <c r="I50" s="22"/>
      <c r="J50" s="8">
        <f>SUM(J43:J49)</f>
        <v>4991</v>
      </c>
      <c r="L50" s="22"/>
      <c r="M50" s="8">
        <f>SUM(M43:M49)</f>
        <v>23010</v>
      </c>
      <c r="O50" s="22"/>
      <c r="P50" s="8">
        <f>SUM(P43:P49)</f>
        <v>17822.00000006361</v>
      </c>
      <c r="R50" s="22"/>
      <c r="S50" s="8">
        <f>SUM(S43:S49)</f>
        <v>7198.9999999635993</v>
      </c>
      <c r="U50" s="22"/>
      <c r="V50" s="8">
        <f>SUM(V43:V49)</f>
        <v>16915.0000000644</v>
      </c>
      <c r="Y50" s="37">
        <f>SUM(Y43:Y49)</f>
        <v>22924.000000073251</v>
      </c>
      <c r="AB50" s="8">
        <f>SUM(AB43:AB49)</f>
        <v>31302.000000102773</v>
      </c>
      <c r="AE50" s="37">
        <f>SUM(AE43:AE49)</f>
        <v>8487</v>
      </c>
      <c r="AH50" s="8">
        <f>SUM(AH43:AH49)</f>
        <v>21244.00000007444</v>
      </c>
      <c r="AK50" s="8"/>
      <c r="AN50" s="8"/>
    </row>
    <row r="51" spans="1:40">
      <c r="AK51" s="5">
        <f>SUM(AK43:AK50)</f>
        <v>24651.000000128599</v>
      </c>
      <c r="AN51" s="5">
        <f>SUM(AN43:AN50)</f>
        <v>18003.00000006604</v>
      </c>
    </row>
    <row r="52" spans="1:40" s="11" customFormat="1">
      <c r="A52" s="12" t="s">
        <v>71</v>
      </c>
      <c r="B52" s="18" t="s">
        <v>48</v>
      </c>
      <c r="C52" s="15"/>
      <c r="F52" s="21"/>
      <c r="G52" s="12"/>
      <c r="I52" s="21"/>
      <c r="J52" s="12"/>
      <c r="L52" s="21"/>
      <c r="M52" s="12"/>
      <c r="O52" s="21"/>
      <c r="P52" s="12"/>
      <c r="R52" s="21"/>
      <c r="S52" s="12"/>
      <c r="U52" s="21"/>
      <c r="V52" s="12"/>
      <c r="Y52" s="36"/>
      <c r="AB52" s="12"/>
      <c r="AE52" s="36"/>
      <c r="AH52" s="12"/>
      <c r="AK52" s="12"/>
      <c r="AN52" s="12"/>
    </row>
    <row r="53" spans="1:40">
      <c r="B53" s="19" t="s">
        <v>49</v>
      </c>
    </row>
    <row r="54" spans="1:40">
      <c r="B54" s="19" t="s">
        <v>50</v>
      </c>
    </row>
    <row r="55" spans="1:40">
      <c r="B55" s="19" t="s">
        <v>51</v>
      </c>
    </row>
    <row r="56" spans="1:40">
      <c r="B56" s="19" t="s">
        <v>52</v>
      </c>
    </row>
    <row r="57" spans="1:40">
      <c r="B57" s="19" t="s">
        <v>53</v>
      </c>
      <c r="T57">
        <v>18000</v>
      </c>
      <c r="U57" s="1">
        <f>0.0444444444*1.17</f>
        <v>5.1999999947999996E-2</v>
      </c>
      <c r="V57" s="5">
        <f>T57*U57</f>
        <v>935.99999906399989</v>
      </c>
      <c r="W57">
        <v>9000</v>
      </c>
      <c r="X57">
        <f>0.04444444444*1.17</f>
        <v>5.1999999994799997E-2</v>
      </c>
      <c r="Y57" s="35">
        <f>W57*X57</f>
        <v>467.99999995319996</v>
      </c>
      <c r="Z57">
        <v>54000</v>
      </c>
      <c r="AA57">
        <f>0.04444444444*1.17</f>
        <v>5.1999999994799997E-2</v>
      </c>
      <c r="AB57" s="5">
        <f>Z57*AA57</f>
        <v>2807.9999997191999</v>
      </c>
      <c r="AC57">
        <v>27000</v>
      </c>
      <c r="AD57">
        <f>0.0444444444*1.17</f>
        <v>5.1999999947999996E-2</v>
      </c>
      <c r="AE57" s="35">
        <f>AC57*AD57</f>
        <v>1403.9999985959998</v>
      </c>
      <c r="AI57">
        <v>36000</v>
      </c>
      <c r="AJ57">
        <f>0.04444444444*1.17</f>
        <v>5.1999999994799997E-2</v>
      </c>
      <c r="AK57" s="5">
        <f>AI57*AJ57</f>
        <v>1871.9999998127998</v>
      </c>
      <c r="AL57">
        <v>42000</v>
      </c>
      <c r="AM57">
        <f>0.04444444444*1.17</f>
        <v>5.1999999994799997E-2</v>
      </c>
      <c r="AN57" s="5">
        <f>AL57*AM57</f>
        <v>2183.9999997815999</v>
      </c>
    </row>
    <row r="58" spans="1:40">
      <c r="B58" s="19" t="s">
        <v>54</v>
      </c>
    </row>
    <row r="59" spans="1:40">
      <c r="B59" s="19" t="s">
        <v>55</v>
      </c>
      <c r="D59">
        <v>24000</v>
      </c>
      <c r="F59" s="1">
        <f>0.0769230769*1.17</f>
        <v>8.9999999972999997E-2</v>
      </c>
      <c r="G59" s="5">
        <v>2160</v>
      </c>
      <c r="N59">
        <v>32000</v>
      </c>
      <c r="O59" s="1">
        <f>0.0769230769*1.17</f>
        <v>8.9999999972999997E-2</v>
      </c>
      <c r="P59" s="5">
        <f>N59*O59</f>
        <v>2879.999999136</v>
      </c>
      <c r="Z59">
        <v>8000</v>
      </c>
      <c r="AA59">
        <f>0.0769230769*1.17</f>
        <v>8.9999999972999997E-2</v>
      </c>
      <c r="AB59" s="5">
        <f>Z59*AA59</f>
        <v>719.99999978400001</v>
      </c>
      <c r="AL59">
        <v>8000</v>
      </c>
      <c r="AM59">
        <f>0.0769230769*1.17</f>
        <v>8.9999999972999997E-2</v>
      </c>
      <c r="AN59" s="5">
        <f>AL59*AM59</f>
        <v>719.99999978400001</v>
      </c>
    </row>
    <row r="60" spans="1:40">
      <c r="B60" s="19" t="s">
        <v>56</v>
      </c>
      <c r="N60">
        <v>42000</v>
      </c>
      <c r="O60" s="1">
        <f>0.0169230769*1.17</f>
        <v>1.9799999972999999E-2</v>
      </c>
      <c r="P60" s="5">
        <f>N60*O60</f>
        <v>831.59999886599996</v>
      </c>
      <c r="W60">
        <v>42000</v>
      </c>
      <c r="X60">
        <f>0.0169230769*1.17</f>
        <v>1.9799999972999999E-2</v>
      </c>
      <c r="Y60" s="35">
        <f>W60*X60</f>
        <v>831.59999886599996</v>
      </c>
      <c r="AF60">
        <v>126000</v>
      </c>
      <c r="AG60">
        <f>0.0169230769*1.17</f>
        <v>1.9799999972999999E-2</v>
      </c>
      <c r="AH60" s="5">
        <f>AF60*AG60</f>
        <v>2494.7999965979998</v>
      </c>
    </row>
    <row r="61" spans="1:40">
      <c r="B61" s="19" t="s">
        <v>57</v>
      </c>
    </row>
    <row r="62" spans="1:40">
      <c r="B62" s="19" t="s">
        <v>58</v>
      </c>
    </row>
    <row r="63" spans="1:40">
      <c r="B63" s="19" t="s">
        <v>59</v>
      </c>
    </row>
    <row r="64" spans="1:40">
      <c r="B64" s="19" t="s">
        <v>60</v>
      </c>
      <c r="AF64">
        <v>24000</v>
      </c>
      <c r="AG64">
        <f>0.0269230769*1.17</f>
        <v>3.1499999972999994E-2</v>
      </c>
      <c r="AH64" s="5">
        <f>AF64*AG64</f>
        <v>755.9999993519998</v>
      </c>
    </row>
    <row r="65" spans="1:40">
      <c r="B65" s="19" t="s">
        <v>61</v>
      </c>
    </row>
    <row r="66" spans="1:40">
      <c r="B66" s="19" t="s">
        <v>62</v>
      </c>
    </row>
    <row r="67" spans="1:40">
      <c r="B67" s="19" t="s">
        <v>63</v>
      </c>
    </row>
    <row r="68" spans="1:40">
      <c r="B68" s="19" t="s">
        <v>64</v>
      </c>
    </row>
    <row r="69" spans="1:40">
      <c r="B69" s="19" t="s">
        <v>161</v>
      </c>
      <c r="W69">
        <v>176500</v>
      </c>
      <c r="X69">
        <f>0.0299145299*1.17</f>
        <v>3.4999999982999998E-2</v>
      </c>
      <c r="Y69" s="35">
        <f>W69*X69</f>
        <v>6177.4999969994997</v>
      </c>
      <c r="AF69">
        <v>108000</v>
      </c>
      <c r="AG69">
        <f>0.0299145299*1.17</f>
        <v>3.4999999982999998E-2</v>
      </c>
      <c r="AH69" s="5">
        <f>AF69*AG69</f>
        <v>3779.9999981639999</v>
      </c>
      <c r="AL69">
        <v>108000</v>
      </c>
      <c r="AM69">
        <f>0.0299145299*1.17</f>
        <v>3.4999999982999998E-2</v>
      </c>
      <c r="AN69" s="5">
        <f>AL69*AM69</f>
        <v>3779.9999981639999</v>
      </c>
    </row>
    <row r="70" spans="1:40">
      <c r="B70" s="19" t="s">
        <v>167</v>
      </c>
      <c r="Z70">
        <v>198000</v>
      </c>
      <c r="AA70">
        <f>0.0299145299*1.17</f>
        <v>3.4999999982999998E-2</v>
      </c>
      <c r="AB70" s="5">
        <f>Z70*AA70</f>
        <v>6929.9999966339992</v>
      </c>
    </row>
    <row r="71" spans="1:40">
      <c r="B71" s="19" t="s">
        <v>65</v>
      </c>
      <c r="N71">
        <v>50000</v>
      </c>
      <c r="O71" s="1">
        <f>0.0418803419*1.17</f>
        <v>4.9000000023E-2</v>
      </c>
      <c r="P71" s="5">
        <f>N71*O71</f>
        <v>2450.0000011500001</v>
      </c>
      <c r="Q71">
        <v>50000</v>
      </c>
      <c r="R71" s="1">
        <f>0.0418803419*1.17</f>
        <v>4.9000000023E-2</v>
      </c>
      <c r="S71" s="5">
        <v>2450</v>
      </c>
      <c r="T71">
        <v>72000</v>
      </c>
      <c r="U71" s="1">
        <f>0.0418803419*1.17</f>
        <v>4.9000000023E-2</v>
      </c>
      <c r="V71" s="5">
        <f>T71*U71</f>
        <v>3528.0000016559998</v>
      </c>
      <c r="Z71">
        <v>153000</v>
      </c>
      <c r="AA71">
        <f>0.0418803419*1.17</f>
        <v>4.9000000023E-2</v>
      </c>
      <c r="AB71" s="5">
        <f>Z71*AA71</f>
        <v>7497.0000035189996</v>
      </c>
      <c r="AF71">
        <v>54000</v>
      </c>
      <c r="AG71">
        <f>0.0418803419*1.17</f>
        <v>4.9000000023E-2</v>
      </c>
      <c r="AH71" s="5">
        <f>AF71*AG71</f>
        <v>2646.0000012420001</v>
      </c>
    </row>
    <row r="72" spans="1:40">
      <c r="B72" s="19" t="s">
        <v>66</v>
      </c>
      <c r="Q72">
        <v>30000</v>
      </c>
      <c r="R72" s="1">
        <f>0.0478632479*1.17</f>
        <v>5.6000000043000001E-2</v>
      </c>
      <c r="S72" s="5">
        <f>Q72*R72</f>
        <v>1680.00000129</v>
      </c>
      <c r="W72">
        <v>105000</v>
      </c>
      <c r="X72">
        <f>0.0478632479*1.17</f>
        <v>5.6000000043000001E-2</v>
      </c>
      <c r="Y72" s="35">
        <f>W72*X72</f>
        <v>5880.000004515</v>
      </c>
      <c r="Z72">
        <v>37500</v>
      </c>
      <c r="AA72">
        <f>0.0478632479*1.17</f>
        <v>5.6000000043000001E-2</v>
      </c>
      <c r="AB72" s="5">
        <f>Z72*AA72</f>
        <v>2100.0000016125</v>
      </c>
      <c r="AC72">
        <v>150000</v>
      </c>
      <c r="AD72">
        <f>0.0478632479*1.17</f>
        <v>5.6000000043000001E-2</v>
      </c>
      <c r="AE72" s="35">
        <f>AC72*AD72</f>
        <v>8400.00000645</v>
      </c>
      <c r="AL72">
        <v>22500</v>
      </c>
      <c r="AM72">
        <f>0.0478632479*1.17</f>
        <v>5.6000000043000001E-2</v>
      </c>
      <c r="AN72" s="5">
        <f>AL72*AM72</f>
        <v>1260.0000009675</v>
      </c>
    </row>
    <row r="73" spans="1:40">
      <c r="B73" s="19" t="s">
        <v>67</v>
      </c>
    </row>
    <row r="74" spans="1:40">
      <c r="B74" s="19" t="s">
        <v>68</v>
      </c>
      <c r="H74">
        <v>150000</v>
      </c>
      <c r="I74" s="1">
        <f>0.0196581197*1.17</f>
        <v>2.3000000048999998E-2</v>
      </c>
      <c r="J74" s="5">
        <v>3450</v>
      </c>
    </row>
    <row r="75" spans="1:40">
      <c r="B75" s="19" t="s">
        <v>69</v>
      </c>
    </row>
    <row r="76" spans="1:40">
      <c r="B76" s="19" t="s">
        <v>70</v>
      </c>
    </row>
    <row r="77" spans="1:40">
      <c r="P77" s="5">
        <f>SUM(P52:P76)</f>
        <v>6161.5999991520002</v>
      </c>
      <c r="S77" s="5">
        <f>SUM(S71:S76)</f>
        <v>4130.00000129</v>
      </c>
      <c r="V77" s="5">
        <f>SUM(V52:V76)</f>
        <v>4464.0000007199997</v>
      </c>
      <c r="Y77" s="35">
        <f>SUM(Y52:Y76)</f>
        <v>13357.100000333699</v>
      </c>
      <c r="AB77" s="5">
        <f>SUM(AB53:AB76)</f>
        <v>20055.000001268701</v>
      </c>
      <c r="AE77" s="35">
        <f>SUM(AE52:AE76)</f>
        <v>9804.0000050460003</v>
      </c>
      <c r="AH77" s="5">
        <f>SUM(AH57:AH76)</f>
        <v>9676.7999953559993</v>
      </c>
      <c r="AN77" s="5">
        <f>SUM(AN57:AN76)</f>
        <v>7943.9999986970997</v>
      </c>
    </row>
    <row r="78" spans="1:40" s="11" customFormat="1">
      <c r="A78" s="12" t="s">
        <v>105</v>
      </c>
      <c r="B78" s="18" t="s">
        <v>72</v>
      </c>
      <c r="C78" s="15"/>
      <c r="F78" s="21"/>
      <c r="G78" s="12"/>
      <c r="H78" s="11">
        <v>43.2</v>
      </c>
      <c r="I78" s="21">
        <f>503.41880342*1.17</f>
        <v>589.00000000139994</v>
      </c>
      <c r="J78" s="12">
        <f>21747.69+3697.11</f>
        <v>25444.799999999999</v>
      </c>
      <c r="K78" s="11">
        <v>85.2</v>
      </c>
      <c r="L78" s="21">
        <f>503.41880342*1.17</f>
        <v>589.00000000139994</v>
      </c>
      <c r="M78" s="12">
        <f>42891.28+7291.52</f>
        <v>50182.8</v>
      </c>
      <c r="O78" s="21"/>
      <c r="P78" s="12"/>
      <c r="Q78" s="11">
        <v>49.8</v>
      </c>
      <c r="R78" s="21">
        <f>503.41880342*1.17</f>
        <v>589.00000000139994</v>
      </c>
      <c r="S78" s="12">
        <f>R78*Q78</f>
        <v>29332.200000069715</v>
      </c>
      <c r="T78" s="11">
        <v>27</v>
      </c>
      <c r="U78" s="21">
        <f>503.41880342*1.17</f>
        <v>589.00000000139994</v>
      </c>
      <c r="V78" s="12">
        <f>T78*U78</f>
        <v>15903.000000037799</v>
      </c>
      <c r="W78" s="11">
        <v>30</v>
      </c>
      <c r="X78" s="11">
        <f>503.41880342*1.17</f>
        <v>589.00000000139994</v>
      </c>
      <c r="Y78" s="36">
        <f>W78*X78</f>
        <v>17670.000000041997</v>
      </c>
      <c r="Z78" s="11">
        <v>76.2</v>
      </c>
      <c r="AA78" s="11">
        <f>503.41880342*1.17</f>
        <v>589.00000000139994</v>
      </c>
      <c r="AB78" s="12">
        <f>Z78*AA78</f>
        <v>44881.800000106676</v>
      </c>
      <c r="AE78" s="36"/>
      <c r="AF78" s="11">
        <v>43.2</v>
      </c>
      <c r="AG78" s="11">
        <f>503.41880342*1.17</f>
        <v>589.00000000139994</v>
      </c>
      <c r="AH78" s="12">
        <f>AF78*AG78</f>
        <v>25444.800000060481</v>
      </c>
      <c r="AI78" s="11">
        <v>41.4</v>
      </c>
      <c r="AJ78" s="11">
        <f>503.41880342*1.17</f>
        <v>589.00000000139994</v>
      </c>
      <c r="AK78" s="12">
        <f>AI78*AJ78</f>
        <v>24384.600000057955</v>
      </c>
      <c r="AN78" s="12"/>
    </row>
    <row r="79" spans="1:40">
      <c r="B79" s="19" t="s">
        <v>73</v>
      </c>
      <c r="D79">
        <v>6</v>
      </c>
      <c r="F79" s="1">
        <f>337.60683761*1.17</f>
        <v>395.00000000369999</v>
      </c>
      <c r="G79" s="5">
        <f>2025.64+344.36</f>
        <v>2370</v>
      </c>
      <c r="K79">
        <v>6</v>
      </c>
      <c r="L79" s="1">
        <f>337.60683761*1.17</f>
        <v>395.00000000369999</v>
      </c>
      <c r="M79" s="5">
        <f>2025.64+344.36</f>
        <v>2370</v>
      </c>
      <c r="Z79">
        <v>7.8</v>
      </c>
      <c r="AA79">
        <f>337.60683761*1.17</f>
        <v>395.00000000369999</v>
      </c>
      <c r="AB79" s="5">
        <f>Z79*AA79</f>
        <v>3081.0000000288601</v>
      </c>
      <c r="AC79">
        <v>1.5</v>
      </c>
      <c r="AD79">
        <f>337.60683761*1.17</f>
        <v>395.00000000369999</v>
      </c>
      <c r="AE79" s="35">
        <f>AC79*AD79</f>
        <v>592.50000000554996</v>
      </c>
      <c r="AF79">
        <v>12.6</v>
      </c>
      <c r="AG79">
        <f>337.60683761*1.17</f>
        <v>395.00000000369999</v>
      </c>
      <c r="AH79" s="5">
        <f>AF79*AG79</f>
        <v>4977.0000000466198</v>
      </c>
      <c r="AI79">
        <v>3.6</v>
      </c>
      <c r="AJ79">
        <f>337.60683761*1.17</f>
        <v>395.00000000369999</v>
      </c>
      <c r="AK79" s="5">
        <f>AI79*AJ79</f>
        <v>1422.00000001332</v>
      </c>
    </row>
    <row r="80" spans="1:40">
      <c r="B80" s="19" t="s">
        <v>74</v>
      </c>
    </row>
    <row r="81" spans="2:40">
      <c r="B81" s="19" t="s">
        <v>75</v>
      </c>
    </row>
    <row r="82" spans="2:40">
      <c r="B82" s="19" t="s">
        <v>76</v>
      </c>
    </row>
    <row r="83" spans="2:40">
      <c r="B83" s="19" t="s">
        <v>77</v>
      </c>
    </row>
    <row r="84" spans="2:40">
      <c r="B84" s="19" t="s">
        <v>78</v>
      </c>
      <c r="AC84">
        <v>160</v>
      </c>
      <c r="AD84">
        <f>154.7008547*1.17</f>
        <v>180.99999999900001</v>
      </c>
      <c r="AE84" s="35">
        <f>AC84*AD84</f>
        <v>28959.999999840002</v>
      </c>
      <c r="AI84">
        <v>30</v>
      </c>
      <c r="AJ84">
        <f>154.7008547*1.17</f>
        <v>180.99999999900001</v>
      </c>
      <c r="AK84" s="5">
        <f>AI84*AJ84</f>
        <v>5429.9999999700003</v>
      </c>
    </row>
    <row r="85" spans="2:40">
      <c r="B85" s="19" t="s">
        <v>79</v>
      </c>
    </row>
    <row r="86" spans="2:40">
      <c r="B86" s="19" t="s">
        <v>80</v>
      </c>
      <c r="D86">
        <v>102.5</v>
      </c>
      <c r="F86" s="1">
        <f>154.7008547*1.17</f>
        <v>180.99999999900001</v>
      </c>
      <c r="G86" s="5">
        <f>15856.84+2695.66</f>
        <v>18552.5</v>
      </c>
      <c r="H86">
        <v>27.5</v>
      </c>
      <c r="I86" s="1">
        <f>154.70085547*1.17</f>
        <v>181.00000089989999</v>
      </c>
      <c r="J86" s="5">
        <f>4254.27+723.23</f>
        <v>4977.5</v>
      </c>
      <c r="K86">
        <v>30</v>
      </c>
      <c r="L86" s="1">
        <f>154.7008547*1.17</f>
        <v>180.99999999900001</v>
      </c>
      <c r="M86" s="5">
        <f>4641.03+788.97</f>
        <v>5430</v>
      </c>
      <c r="N86">
        <v>80</v>
      </c>
      <c r="O86" s="1">
        <f>154.7008547*1.17</f>
        <v>180.99999999900001</v>
      </c>
      <c r="P86" s="5">
        <f>N86*O86</f>
        <v>14479.999999920001</v>
      </c>
      <c r="Q86">
        <v>40</v>
      </c>
      <c r="R86" s="1">
        <f>154.7008547*1.17</f>
        <v>180.99999999900001</v>
      </c>
      <c r="S86" s="5">
        <f>R86*Q86</f>
        <v>7239.9999999600004</v>
      </c>
      <c r="W86">
        <v>145</v>
      </c>
      <c r="X86">
        <f>154.7008547*1.17</f>
        <v>180.99999999900001</v>
      </c>
      <c r="Y86" s="35">
        <f>W86*X86</f>
        <v>26244.999999855001</v>
      </c>
      <c r="Z86">
        <v>67.5</v>
      </c>
      <c r="AA86">
        <f>154.7008547*1.17</f>
        <v>180.99999999900001</v>
      </c>
      <c r="AB86" s="5">
        <f>Z86*AA86</f>
        <v>12217.499999932501</v>
      </c>
      <c r="AF86">
        <v>25</v>
      </c>
      <c r="AG86">
        <f>154.7008547*1.17</f>
        <v>180.99999999900001</v>
      </c>
      <c r="AH86" s="5">
        <f>AF86*AG86</f>
        <v>4524.9999999749998</v>
      </c>
      <c r="AL86">
        <v>125</v>
      </c>
      <c r="AM86">
        <f>154.7008547*1.17</f>
        <v>180.99999999900001</v>
      </c>
      <c r="AN86" s="5">
        <f>AL86*AM86</f>
        <v>22624.999999875003</v>
      </c>
    </row>
    <row r="87" spans="2:40">
      <c r="B87" s="19" t="s">
        <v>81</v>
      </c>
      <c r="H87">
        <v>40</v>
      </c>
      <c r="I87" s="1">
        <f>141.88034188*1.17</f>
        <v>165.99999999959999</v>
      </c>
      <c r="J87" s="5">
        <f>5675.21+964.79</f>
        <v>6640</v>
      </c>
      <c r="K87">
        <v>15</v>
      </c>
      <c r="L87" s="1">
        <f>141.88034188*1.17</f>
        <v>165.99999999959999</v>
      </c>
      <c r="M87" s="5">
        <f>2128.21+361.79</f>
        <v>2490</v>
      </c>
      <c r="N87">
        <v>90</v>
      </c>
      <c r="O87" s="1">
        <f>141.88034188*1.17</f>
        <v>165.99999999959999</v>
      </c>
      <c r="P87" s="5">
        <f>N87*O87</f>
        <v>14939.999999963999</v>
      </c>
      <c r="AL87">
        <v>50</v>
      </c>
      <c r="AM87">
        <f>141.88034188*1.17</f>
        <v>165.99999999959999</v>
      </c>
      <c r="AN87" s="5">
        <f>AL87*AM87</f>
        <v>8299.9999999800002</v>
      </c>
    </row>
    <row r="88" spans="2:40">
      <c r="B88" s="19" t="s">
        <v>82</v>
      </c>
    </row>
    <row r="89" spans="2:40">
      <c r="B89" s="19" t="s">
        <v>83</v>
      </c>
    </row>
    <row r="90" spans="2:40">
      <c r="B90" s="19" t="s">
        <v>84</v>
      </c>
    </row>
    <row r="91" spans="2:40">
      <c r="B91" s="19" t="s">
        <v>85</v>
      </c>
    </row>
    <row r="92" spans="2:40">
      <c r="B92" s="19" t="s">
        <v>86</v>
      </c>
    </row>
    <row r="93" spans="2:40">
      <c r="B93" s="19" t="s">
        <v>87</v>
      </c>
    </row>
    <row r="94" spans="2:40">
      <c r="B94" s="19" t="s">
        <v>88</v>
      </c>
    </row>
    <row r="95" spans="2:40">
      <c r="B95" s="19" t="s">
        <v>89</v>
      </c>
    </row>
    <row r="96" spans="2:40">
      <c r="B96" s="19" t="s">
        <v>90</v>
      </c>
    </row>
    <row r="97" spans="2:40">
      <c r="B97" s="19" t="s">
        <v>91</v>
      </c>
    </row>
    <row r="98" spans="2:40">
      <c r="B98" s="19" t="s">
        <v>92</v>
      </c>
    </row>
    <row r="99" spans="2:40">
      <c r="B99" s="19" t="s">
        <v>93</v>
      </c>
    </row>
    <row r="100" spans="2:40">
      <c r="B100" s="19" t="s">
        <v>94</v>
      </c>
    </row>
    <row r="101" spans="2:40">
      <c r="B101" s="19" t="s">
        <v>95</v>
      </c>
    </row>
    <row r="102" spans="2:40">
      <c r="B102" s="19" t="s">
        <v>96</v>
      </c>
      <c r="W102">
        <v>6</v>
      </c>
      <c r="X102">
        <f>316.23931624*1.17</f>
        <v>370.00000000079996</v>
      </c>
      <c r="Y102" s="35">
        <f>W102*X102</f>
        <v>2220.0000000047999</v>
      </c>
      <c r="Z102">
        <v>3</v>
      </c>
      <c r="AA102">
        <f>316.23931624*1.17</f>
        <v>370.00000000079996</v>
      </c>
      <c r="AB102" s="5">
        <f>Z102*AA102</f>
        <v>1110.0000000023999</v>
      </c>
      <c r="AI102">
        <v>6</v>
      </c>
      <c r="AJ102">
        <f>316.23931624*1.17</f>
        <v>370.00000000079996</v>
      </c>
      <c r="AK102" s="5">
        <f>AJ102*AI102</f>
        <v>2220.0000000047999</v>
      </c>
    </row>
    <row r="103" spans="2:40">
      <c r="B103" s="19" t="s">
        <v>97</v>
      </c>
    </row>
    <row r="104" spans="2:40">
      <c r="B104" s="19" t="s">
        <v>98</v>
      </c>
    </row>
    <row r="105" spans="2:40">
      <c r="B105" s="19" t="s">
        <v>99</v>
      </c>
    </row>
    <row r="106" spans="2:40">
      <c r="B106" s="19" t="s">
        <v>100</v>
      </c>
    </row>
    <row r="107" spans="2:40">
      <c r="B107" s="19" t="s">
        <v>76</v>
      </c>
    </row>
    <row r="108" spans="2:40">
      <c r="B108" s="19" t="s">
        <v>101</v>
      </c>
    </row>
    <row r="109" spans="2:40">
      <c r="B109" s="19" t="s">
        <v>102</v>
      </c>
    </row>
    <row r="110" spans="2:40">
      <c r="B110" s="19" t="s">
        <v>103</v>
      </c>
    </row>
    <row r="111" spans="2:40">
      <c r="B111" s="19" t="s">
        <v>104</v>
      </c>
    </row>
    <row r="112" spans="2:40">
      <c r="B112" s="19"/>
      <c r="G112" s="5">
        <f>SUM(G78:G111)</f>
        <v>20922.5</v>
      </c>
      <c r="J112" s="5">
        <f>SUM(J78:J111)</f>
        <v>37062.300000000003</v>
      </c>
      <c r="M112" s="5">
        <f>SUM(M78:M111)</f>
        <v>60472.800000000003</v>
      </c>
      <c r="N112" s="5">
        <f t="shared" ref="N112:S112" si="5">SUM(N78:N111)</f>
        <v>170</v>
      </c>
      <c r="O112" s="5">
        <f t="shared" si="5"/>
        <v>346.9999999986</v>
      </c>
      <c r="P112" s="5">
        <f t="shared" si="5"/>
        <v>29419.999999883999</v>
      </c>
      <c r="Q112" s="5"/>
      <c r="R112" s="27"/>
      <c r="S112" s="5">
        <f t="shared" si="5"/>
        <v>36572.200000029712</v>
      </c>
      <c r="Y112" s="35">
        <f>SUM(Y78:Y111)</f>
        <v>46134.999999901804</v>
      </c>
      <c r="AB112" s="5">
        <f>SUM(AB78:AB111)</f>
        <v>61290.300000070441</v>
      </c>
      <c r="AE112" s="35">
        <f>SUM(AE78:AE111)</f>
        <v>29552.499999845553</v>
      </c>
      <c r="AH112" s="5">
        <f>SUM(AH78:AH111)</f>
        <v>34946.800000082105</v>
      </c>
      <c r="AK112" s="5">
        <f>SUM(AK78:AK111)</f>
        <v>33456.600000046077</v>
      </c>
      <c r="AN112" s="5">
        <f>SUM(AN86:AN111)</f>
        <v>30924.999999855005</v>
      </c>
    </row>
    <row r="114" spans="1:40" s="11" customFormat="1">
      <c r="A114" s="12" t="s">
        <v>106</v>
      </c>
      <c r="B114" s="18" t="s">
        <v>107</v>
      </c>
      <c r="C114" s="15"/>
      <c r="D114" s="11">
        <f>38+34</f>
        <v>72</v>
      </c>
      <c r="F114" s="21">
        <f>34.188034188*1.17</f>
        <v>39.999999999960004</v>
      </c>
      <c r="G114" s="12">
        <f>1299.15+220.85+1162.39+197.61</f>
        <v>2880.0000000000005</v>
      </c>
      <c r="I114" s="21"/>
      <c r="J114" s="12"/>
      <c r="L114" s="21"/>
      <c r="M114" s="12"/>
      <c r="O114" s="21"/>
      <c r="P114" s="12"/>
      <c r="R114" s="21"/>
      <c r="S114" s="12"/>
      <c r="T114" s="11">
        <f>33.5+39.3+67.3</f>
        <v>140.1</v>
      </c>
      <c r="U114" s="21">
        <f>34.188034188*1.17</f>
        <v>39.999999999960004</v>
      </c>
      <c r="V114" s="12">
        <f>T114*U114</f>
        <v>5603.9999999943966</v>
      </c>
      <c r="Y114" s="36"/>
      <c r="AB114" s="12"/>
      <c r="AC114" s="11">
        <f>72.5+32.1</f>
        <v>104.6</v>
      </c>
      <c r="AD114" s="11">
        <f>34.188034188*1.17</f>
        <v>39.999999999960004</v>
      </c>
      <c r="AE114" s="36">
        <f>AC114*AD114</f>
        <v>4183.9999999958163</v>
      </c>
      <c r="AH114" s="12"/>
      <c r="AK114" s="12"/>
      <c r="AN114" s="12"/>
    </row>
    <row r="115" spans="1:40">
      <c r="B115" s="19" t="s">
        <v>108</v>
      </c>
      <c r="D115">
        <f>62.7+32.8+26.8</f>
        <v>122.3</v>
      </c>
      <c r="F115" s="1">
        <v>40</v>
      </c>
      <c r="G115" s="5">
        <f>2143.59+364.41+1121.37+190.63+916.24+155.76</f>
        <v>4892</v>
      </c>
      <c r="T115">
        <f>32.5+66.1+66.8</f>
        <v>165.39999999999998</v>
      </c>
      <c r="U115" s="1">
        <v>40</v>
      </c>
      <c r="V115" s="5">
        <f>U115*T115</f>
        <v>6615.9999999999991</v>
      </c>
      <c r="AC115">
        <f>30.5+41.45</f>
        <v>71.95</v>
      </c>
      <c r="AD115">
        <v>40</v>
      </c>
      <c r="AE115" s="36">
        <f>AC115*AD115</f>
        <v>2878</v>
      </c>
    </row>
    <row r="116" spans="1:40">
      <c r="B116" s="19" t="s">
        <v>109</v>
      </c>
      <c r="D116">
        <v>16.600000000000001</v>
      </c>
      <c r="F116" s="1">
        <v>40</v>
      </c>
      <c r="G116" s="5">
        <f>567.52+96.48</f>
        <v>664</v>
      </c>
      <c r="V116" s="5">
        <f>U116*T116</f>
        <v>0</v>
      </c>
      <c r="AC116">
        <v>35.4</v>
      </c>
      <c r="AD116">
        <v>40</v>
      </c>
      <c r="AE116" s="36">
        <f>AC116*AD116</f>
        <v>1416</v>
      </c>
    </row>
    <row r="117" spans="1:40">
      <c r="B117" s="19" t="s">
        <v>110</v>
      </c>
      <c r="T117">
        <v>20.8</v>
      </c>
      <c r="U117" s="1">
        <v>40</v>
      </c>
      <c r="V117" s="5">
        <f>U117*T117</f>
        <v>832</v>
      </c>
      <c r="AC117">
        <v>21.9</v>
      </c>
      <c r="AD117">
        <v>40</v>
      </c>
      <c r="AE117" s="36">
        <f>AC117*AD117</f>
        <v>876</v>
      </c>
    </row>
    <row r="118" spans="1:40">
      <c r="B118" s="19" t="s">
        <v>111</v>
      </c>
    </row>
    <row r="119" spans="1:40">
      <c r="B119" s="19" t="s">
        <v>168</v>
      </c>
      <c r="AC119">
        <v>61.65</v>
      </c>
      <c r="AD119">
        <f>32.478632479*1.17</f>
        <v>38.000000000429992</v>
      </c>
      <c r="AE119" s="35">
        <f>AC119*AD119</f>
        <v>2342.7000000265089</v>
      </c>
      <c r="AL119">
        <f>31.4+29.85</f>
        <v>61.25</v>
      </c>
      <c r="AM119">
        <f>32.478632479*1.17</f>
        <v>38.000000000429992</v>
      </c>
      <c r="AN119" s="5">
        <f>AL119*AM119</f>
        <v>2327.5000000263371</v>
      </c>
    </row>
    <row r="120" spans="1:40">
      <c r="B120" s="19" t="s">
        <v>169</v>
      </c>
      <c r="AC120">
        <v>60.7</v>
      </c>
      <c r="AD120">
        <v>38</v>
      </c>
      <c r="AE120" s="35">
        <f>AC120*AD120</f>
        <v>2306.6</v>
      </c>
      <c r="AL120">
        <f>29.25+30.85+32.7</f>
        <v>92.800000000000011</v>
      </c>
      <c r="AM120">
        <v>38</v>
      </c>
      <c r="AN120" s="5">
        <f>AL120*AM120</f>
        <v>3526.4000000000005</v>
      </c>
    </row>
    <row r="121" spans="1:40">
      <c r="B121" s="19" t="s">
        <v>183</v>
      </c>
      <c r="AL121">
        <v>16.2</v>
      </c>
      <c r="AM121">
        <v>38</v>
      </c>
      <c r="AN121" s="5">
        <f>AL121*AM121</f>
        <v>615.6</v>
      </c>
    </row>
    <row r="122" spans="1:40">
      <c r="B122" s="19" t="s">
        <v>112</v>
      </c>
    </row>
    <row r="123" spans="1:40">
      <c r="B123" s="19" t="s">
        <v>113</v>
      </c>
      <c r="AN123" s="5">
        <f>SUM(AN119:AN122)</f>
        <v>6469.5000000263381</v>
      </c>
    </row>
    <row r="124" spans="1:40">
      <c r="V124" s="5">
        <f>SUM(V114:V123)</f>
        <v>13051.999999994396</v>
      </c>
      <c r="AE124" s="35">
        <f>SUM(AE114:AE123)</f>
        <v>14003.300000022326</v>
      </c>
    </row>
    <row r="125" spans="1:40" s="11" customFormat="1">
      <c r="A125" s="12" t="s">
        <v>114</v>
      </c>
      <c r="B125" s="20" t="s">
        <v>115</v>
      </c>
      <c r="C125" s="15" t="s">
        <v>116</v>
      </c>
      <c r="D125" s="11">
        <f>2500+5000+1500+5000</f>
        <v>14000</v>
      </c>
      <c r="F125" s="21">
        <f>0.3675213675*1.17</f>
        <v>0.42999999997499994</v>
      </c>
      <c r="G125" s="12">
        <f>1075+2150+645+2100</f>
        <v>5970</v>
      </c>
      <c r="H125" s="11">
        <v>2500</v>
      </c>
      <c r="I125" s="21">
        <f>0.358974359*1.17</f>
        <v>0.42000000002999999</v>
      </c>
      <c r="J125" s="12">
        <v>1050</v>
      </c>
      <c r="K125" s="11">
        <v>12500</v>
      </c>
      <c r="L125" s="21">
        <f>0.333333333*1.17</f>
        <v>0.38999999960999998</v>
      </c>
      <c r="M125" s="12">
        <v>4875</v>
      </c>
      <c r="N125" s="11">
        <v>10000</v>
      </c>
      <c r="O125" s="21">
        <f>0.3504273504*1.17</f>
        <v>0.40999999996799996</v>
      </c>
      <c r="P125" s="12">
        <f>N125*O125</f>
        <v>4099.9999996799997</v>
      </c>
      <c r="R125" s="21"/>
      <c r="S125" s="12"/>
      <c r="U125" s="21"/>
      <c r="V125" s="12"/>
      <c r="Y125" s="36"/>
      <c r="Z125" s="11">
        <v>6000</v>
      </c>
      <c r="AA125" s="11">
        <f>0.3504273504*1.17</f>
        <v>0.40999999996799996</v>
      </c>
      <c r="AB125" s="12">
        <f>Z125*AA125</f>
        <v>2459.9999998079998</v>
      </c>
      <c r="AE125" s="36"/>
      <c r="AF125" s="11">
        <v>10000</v>
      </c>
      <c r="AG125" s="11">
        <f>0.3504273504*1.17</f>
        <v>0.40999999996799996</v>
      </c>
      <c r="AH125" s="12">
        <f>AF125*AG125</f>
        <v>4099.9999996799997</v>
      </c>
      <c r="AK125" s="12"/>
      <c r="AL125" s="11">
        <v>5000</v>
      </c>
      <c r="AM125" s="11">
        <f>0.3504273504*1.17</f>
        <v>0.40999999996799996</v>
      </c>
      <c r="AN125" s="12">
        <f>AL125*AM125</f>
        <v>2049.9999998399999</v>
      </c>
    </row>
    <row r="128" spans="1:40" s="11" customFormat="1">
      <c r="A128" s="12" t="s">
        <v>117</v>
      </c>
      <c r="B128" s="15" t="s">
        <v>118</v>
      </c>
      <c r="C128" s="15" t="s">
        <v>119</v>
      </c>
      <c r="D128" s="11">
        <v>20</v>
      </c>
      <c r="F128" s="21">
        <f>59.829059829*1.17</f>
        <v>69.999999999929997</v>
      </c>
      <c r="G128" s="12">
        <v>1400</v>
      </c>
      <c r="I128" s="21"/>
      <c r="J128" s="12"/>
      <c r="L128" s="21"/>
      <c r="M128" s="12"/>
      <c r="O128" s="21"/>
      <c r="P128" s="12"/>
      <c r="Q128" s="11">
        <v>20</v>
      </c>
      <c r="R128" s="21">
        <f>59.829059829*1.17</f>
        <v>69.999999999929997</v>
      </c>
      <c r="S128" s="12">
        <v>1400</v>
      </c>
      <c r="U128" s="21"/>
      <c r="V128" s="12"/>
      <c r="Y128" s="36"/>
      <c r="AB128" s="12"/>
      <c r="AC128" s="11">
        <v>20</v>
      </c>
      <c r="AD128" s="11">
        <f>59.829059829*1.17</f>
        <v>69.999999999929997</v>
      </c>
      <c r="AE128" s="36">
        <v>1400</v>
      </c>
      <c r="AH128" s="12"/>
      <c r="AK128" s="12"/>
      <c r="AN128" s="12"/>
    </row>
    <row r="130" spans="1:40" s="11" customFormat="1">
      <c r="A130" s="12" t="s">
        <v>120</v>
      </c>
      <c r="B130" s="15" t="s">
        <v>121</v>
      </c>
      <c r="C130" s="15">
        <v>0.5</v>
      </c>
      <c r="D130" s="11">
        <v>154.08000000000001</v>
      </c>
      <c r="F130" s="21">
        <f>25.641025641*1.17</f>
        <v>29.999999999969997</v>
      </c>
      <c r="G130" s="12">
        <f>3950.77+671.63</f>
        <v>4622.3999999999996</v>
      </c>
      <c r="I130" s="21"/>
      <c r="J130" s="12"/>
      <c r="K130" s="11">
        <v>272.26</v>
      </c>
      <c r="L130" s="21">
        <f>25.641025641*1.17</f>
        <v>29.999999999969997</v>
      </c>
      <c r="M130" s="12">
        <f>6981.03+1186.77</f>
        <v>8167.7999999999993</v>
      </c>
      <c r="N130" s="11">
        <v>189.34</v>
      </c>
      <c r="O130" s="21">
        <f>24.786324786*1.17</f>
        <v>28.999999999620002</v>
      </c>
      <c r="P130" s="12">
        <f>N130*O130</f>
        <v>5490.8599999280514</v>
      </c>
      <c r="Q130" s="11">
        <v>194.13</v>
      </c>
      <c r="R130" s="21">
        <f>24.786324786*1.17</f>
        <v>28.999999999620002</v>
      </c>
      <c r="S130" s="12">
        <f>Q130*R130</f>
        <v>5629.7699999262304</v>
      </c>
      <c r="T130" s="11">
        <v>194.73</v>
      </c>
      <c r="U130" s="21">
        <f>23.076923077*1.17</f>
        <v>27.000000000089997</v>
      </c>
      <c r="V130" s="12">
        <f>T130*U130</f>
        <v>5257.7100000175251</v>
      </c>
      <c r="W130" s="11">
        <v>196.06</v>
      </c>
      <c r="X130" s="11">
        <f>23.076923077*1.17</f>
        <v>27.000000000089997</v>
      </c>
      <c r="Y130" s="36">
        <f>W130*X130</f>
        <v>5293.620000017645</v>
      </c>
      <c r="Z130" s="11">
        <v>237.31</v>
      </c>
      <c r="AA130" s="11">
        <f>23.076923077*1.17</f>
        <v>27.000000000089997</v>
      </c>
      <c r="AB130" s="12">
        <f>Z130*AA130</f>
        <v>6407.3700000213576</v>
      </c>
      <c r="AC130" s="11">
        <f>158.95+158.93</f>
        <v>317.88</v>
      </c>
      <c r="AD130" s="11">
        <f>23.076923077*1.17</f>
        <v>27.000000000089997</v>
      </c>
      <c r="AE130" s="36">
        <f>AC130*AD130</f>
        <v>8582.7600000286075</v>
      </c>
      <c r="AH130" s="12"/>
      <c r="AI130" s="11">
        <f>77.73+95.39</f>
        <v>173.12</v>
      </c>
      <c r="AJ130" s="11">
        <f>23.076923077*1.17</f>
        <v>27.000000000089997</v>
      </c>
      <c r="AK130" s="12">
        <f>AI130*AJ130</f>
        <v>4674.2400000155803</v>
      </c>
      <c r="AL130" s="11">
        <v>96.32</v>
      </c>
      <c r="AM130" s="11">
        <v>27</v>
      </c>
      <c r="AN130" s="12">
        <f>AL130*AM130</f>
        <v>2600.64</v>
      </c>
    </row>
    <row r="131" spans="1:40">
      <c r="C131" s="14">
        <v>0.6</v>
      </c>
      <c r="K131">
        <v>96.51</v>
      </c>
      <c r="L131" s="1">
        <v>30</v>
      </c>
      <c r="M131" s="5">
        <f>2474.62+420.68</f>
        <v>2895.2999999999997</v>
      </c>
      <c r="N131">
        <v>191.75</v>
      </c>
      <c r="O131" s="25">
        <f>24.786324786*1.17</f>
        <v>28.999999999620002</v>
      </c>
      <c r="P131" s="4">
        <f>N131*O131</f>
        <v>5560.7499999271349</v>
      </c>
      <c r="Q131">
        <v>90.92</v>
      </c>
      <c r="R131" s="1">
        <f>29</f>
        <v>29</v>
      </c>
      <c r="S131" s="5">
        <f>Q131*R131</f>
        <v>2636.68</v>
      </c>
      <c r="V131" s="12">
        <f>T131*U131</f>
        <v>0</v>
      </c>
      <c r="AI131">
        <f>2.57+37.73</f>
        <v>40.299999999999997</v>
      </c>
      <c r="AJ131">
        <v>27</v>
      </c>
      <c r="AK131" s="5">
        <f>AI131*AJ131</f>
        <v>1088.0999999999999</v>
      </c>
      <c r="AL131">
        <v>57.07</v>
      </c>
      <c r="AM131">
        <v>27</v>
      </c>
      <c r="AN131" s="5">
        <f>AL131*AM131</f>
        <v>1540.89</v>
      </c>
    </row>
    <row r="132" spans="1:40">
      <c r="C132" s="14">
        <v>0.8</v>
      </c>
      <c r="D132">
        <v>399.7</v>
      </c>
      <c r="F132" s="1">
        <f>30</f>
        <v>30</v>
      </c>
      <c r="G132" s="5">
        <f>10248.72+1742.28</f>
        <v>11991</v>
      </c>
      <c r="K132">
        <v>493.86</v>
      </c>
      <c r="L132" s="1">
        <v>30</v>
      </c>
      <c r="M132" s="5">
        <f>12663.08+2152.72</f>
        <v>14815.8</v>
      </c>
      <c r="N132">
        <v>499.42</v>
      </c>
      <c r="O132" s="25">
        <f>24.786324786*1.17</f>
        <v>28.999999999620002</v>
      </c>
      <c r="P132" s="4">
        <f>N132*O132</f>
        <v>14483.179999810221</v>
      </c>
      <c r="Q132">
        <v>492.7</v>
      </c>
      <c r="R132" s="1">
        <v>29</v>
      </c>
      <c r="S132" s="5">
        <f>Q132*R132</f>
        <v>14288.3</v>
      </c>
      <c r="T132">
        <v>481.51</v>
      </c>
      <c r="U132" s="1">
        <v>27</v>
      </c>
      <c r="V132" s="12">
        <f>T132*U132</f>
        <v>13000.77</v>
      </c>
      <c r="W132" s="9">
        <v>488.08</v>
      </c>
      <c r="X132">
        <f>27</f>
        <v>27</v>
      </c>
      <c r="Y132" s="35">
        <f>W132*X132</f>
        <v>13178.16</v>
      </c>
      <c r="Z132">
        <v>488.94</v>
      </c>
      <c r="AA132">
        <f>27</f>
        <v>27</v>
      </c>
      <c r="AB132" s="5">
        <f>Z132*AA132</f>
        <v>13201.38</v>
      </c>
      <c r="AC132">
        <f>641.06+500.77</f>
        <v>1141.83</v>
      </c>
      <c r="AD132">
        <v>27</v>
      </c>
      <c r="AE132" s="35">
        <f>AC132*AD132</f>
        <v>30829.409999999996</v>
      </c>
      <c r="AF132">
        <v>499.38</v>
      </c>
      <c r="AG132">
        <f>23.076923077*1.17</f>
        <v>27.000000000089997</v>
      </c>
      <c r="AH132" s="5">
        <f>AF132*AG132</f>
        <v>13483.260000044942</v>
      </c>
      <c r="AI132">
        <f>396.94+492.97</f>
        <v>889.91000000000008</v>
      </c>
      <c r="AJ132">
        <v>27</v>
      </c>
      <c r="AK132" s="5">
        <f>AI132*AJ132</f>
        <v>24027.570000000003</v>
      </c>
      <c r="AL132">
        <v>392.11</v>
      </c>
      <c r="AM132">
        <v>27</v>
      </c>
      <c r="AN132" s="5">
        <f>AL132*AM132</f>
        <v>10586.970000000001</v>
      </c>
    </row>
    <row r="133" spans="1:40">
      <c r="C133" s="14">
        <v>0.6</v>
      </c>
      <c r="K133">
        <v>7.13</v>
      </c>
      <c r="L133" s="1">
        <f>73.504273504*1.17</f>
        <v>85.999999999679986</v>
      </c>
      <c r="M133" s="5">
        <f>524.09+89.09</f>
        <v>613.18000000000006</v>
      </c>
    </row>
    <row r="134" spans="1:40">
      <c r="C134" s="14">
        <v>0.8</v>
      </c>
      <c r="K134">
        <v>7.37</v>
      </c>
      <c r="L134" s="1">
        <v>86</v>
      </c>
      <c r="M134" s="5">
        <f>541.73+92.09</f>
        <v>633.82000000000005</v>
      </c>
    </row>
    <row r="135" spans="1:40">
      <c r="C135" s="14">
        <v>1</v>
      </c>
      <c r="K135">
        <v>9.5299999999999994</v>
      </c>
      <c r="L135" s="1">
        <v>86</v>
      </c>
      <c r="M135" s="5">
        <f>700.5+119.08</f>
        <v>819.58</v>
      </c>
      <c r="AC135">
        <v>11.56</v>
      </c>
      <c r="AD135">
        <f>73.504273504*1.17</f>
        <v>85.999999999679986</v>
      </c>
      <c r="AE135" s="35">
        <f>AC135*AD135</f>
        <v>994.15999999630071</v>
      </c>
      <c r="AI135">
        <v>19.32</v>
      </c>
      <c r="AJ135">
        <f>73.504273504*1.17</f>
        <v>85.999999999679986</v>
      </c>
      <c r="AK135" s="5">
        <f>AI135*AJ135</f>
        <v>1661.5199999938172</v>
      </c>
      <c r="AL135">
        <v>19.829999999999998</v>
      </c>
      <c r="AM135">
        <f>73.504273504*1.17</f>
        <v>85.999999999679986</v>
      </c>
      <c r="AN135" s="5">
        <f>AL135*AM135</f>
        <v>1705.3799999936539</v>
      </c>
    </row>
    <row r="136" spans="1:40">
      <c r="G136" s="5">
        <f>SUM(G130:G132)</f>
        <v>16613.400000000001</v>
      </c>
      <c r="M136" s="5">
        <f>SUM(M130:M135)</f>
        <v>27945.48</v>
      </c>
      <c r="P136" s="5">
        <f>SUM(P130:P135)</f>
        <v>25534.789999665409</v>
      </c>
      <c r="Q136" s="5"/>
      <c r="R136" s="27"/>
      <c r="S136" s="5">
        <f>SUM(S130:S135)</f>
        <v>22554.749999926229</v>
      </c>
      <c r="V136" s="5">
        <f>SUM(V130:V135)</f>
        <v>18258.480000017524</v>
      </c>
      <c r="Y136" s="35">
        <f>SUM(Y130:Y135)</f>
        <v>18471.780000017643</v>
      </c>
      <c r="AB136" s="5">
        <f>SUM(AB130:AB135)</f>
        <v>19608.750000021355</v>
      </c>
      <c r="AE136" s="35">
        <f>SUM(AE130:AE135)</f>
        <v>40406.330000024907</v>
      </c>
    </row>
    <row r="137" spans="1:40">
      <c r="AK137" s="5">
        <f>SUM(AK130:AK136)</f>
        <v>31451.430000009397</v>
      </c>
      <c r="AN137" s="5">
        <f>SUM(AN130:AN136)</f>
        <v>16433.879999993653</v>
      </c>
    </row>
    <row r="138" spans="1:40" s="11" customFormat="1">
      <c r="A138" s="12" t="s">
        <v>130</v>
      </c>
      <c r="B138" s="18" t="s">
        <v>122</v>
      </c>
      <c r="C138" s="15"/>
      <c r="F138" s="21"/>
      <c r="G138" s="12"/>
      <c r="I138" s="21"/>
      <c r="J138" s="12"/>
      <c r="L138" s="21"/>
      <c r="M138" s="12"/>
      <c r="O138" s="21"/>
      <c r="P138" s="12"/>
      <c r="R138" s="21"/>
      <c r="S138" s="12"/>
      <c r="U138" s="21"/>
      <c r="V138" s="12"/>
      <c r="Y138" s="36"/>
      <c r="AB138" s="12"/>
      <c r="AE138" s="36"/>
      <c r="AH138" s="12"/>
      <c r="AK138" s="12"/>
      <c r="AN138" s="12"/>
    </row>
    <row r="139" spans="1:40">
      <c r="B139" s="19" t="s">
        <v>123</v>
      </c>
    </row>
    <row r="140" spans="1:40">
      <c r="B140" s="19" t="s">
        <v>124</v>
      </c>
      <c r="N140">
        <v>400</v>
      </c>
      <c r="O140" s="1">
        <f>0.7264957265*1.17</f>
        <v>0.85000000000499998</v>
      </c>
      <c r="P140" s="5">
        <f>N140*O140</f>
        <v>340.00000000199998</v>
      </c>
      <c r="W140">
        <v>676</v>
      </c>
      <c r="X140">
        <f>0.7264957265*1.17</f>
        <v>0.85000000000499998</v>
      </c>
      <c r="Y140" s="35">
        <f>W140*X140</f>
        <v>574.60000000337993</v>
      </c>
      <c r="AF140">
        <v>1000</v>
      </c>
      <c r="AG140">
        <f>0.7264957265*1.17</f>
        <v>0.85000000000499998</v>
      </c>
      <c r="AH140" s="5">
        <f>AF140*AG140</f>
        <v>850.00000000499995</v>
      </c>
      <c r="AL140">
        <v>500</v>
      </c>
      <c r="AM140">
        <f>0.7264957265*1.17</f>
        <v>0.85000000000499998</v>
      </c>
      <c r="AN140" s="5">
        <f>AL140*AM140</f>
        <v>425.00000000249997</v>
      </c>
    </row>
    <row r="141" spans="1:40">
      <c r="B141" s="19" t="s">
        <v>125</v>
      </c>
      <c r="N141">
        <v>1000</v>
      </c>
      <c r="O141" s="1">
        <f>1.11111111111*1.17</f>
        <v>1.2999999999987</v>
      </c>
      <c r="P141" s="5">
        <f>N141*O141</f>
        <v>1299.9999999986999</v>
      </c>
      <c r="AC141">
        <v>500</v>
      </c>
      <c r="AD141">
        <f>1.111111111*1.17</f>
        <v>1.29999999987</v>
      </c>
      <c r="AE141" s="35">
        <f>AC141*AD141</f>
        <v>649.99999993500001</v>
      </c>
      <c r="AF141">
        <v>700</v>
      </c>
      <c r="AG141">
        <f>1.11111111111*1.17</f>
        <v>1.2999999999987</v>
      </c>
      <c r="AH141" s="5">
        <f t="shared" ref="AH141:AH149" si="6">AF141*AG141</f>
        <v>909.99999999908994</v>
      </c>
      <c r="AL141">
        <v>500</v>
      </c>
      <c r="AM141">
        <f>1.11111111111*1.17</f>
        <v>1.2999999999987</v>
      </c>
      <c r="AN141" s="5">
        <f>AL141*AM141</f>
        <v>649.99999999934994</v>
      </c>
    </row>
    <row r="142" spans="1:40">
      <c r="B142" s="19" t="s">
        <v>126</v>
      </c>
      <c r="AH142" s="5">
        <f t="shared" si="6"/>
        <v>0</v>
      </c>
    </row>
    <row r="143" spans="1:40">
      <c r="B143" s="19" t="s">
        <v>127</v>
      </c>
      <c r="AH143" s="5">
        <f t="shared" si="6"/>
        <v>0</v>
      </c>
    </row>
    <row r="144" spans="1:40">
      <c r="B144" s="19" t="s">
        <v>131</v>
      </c>
      <c r="D144">
        <v>1000</v>
      </c>
      <c r="F144" s="1">
        <f>1.2820512821*1.17</f>
        <v>1.500000000057</v>
      </c>
      <c r="G144" s="5">
        <v>1500</v>
      </c>
      <c r="AH144" s="5">
        <f t="shared" si="6"/>
        <v>0</v>
      </c>
    </row>
    <row r="145" spans="1:40">
      <c r="B145" s="19" t="s">
        <v>147</v>
      </c>
      <c r="N145">
        <v>2477</v>
      </c>
      <c r="O145" s="1">
        <f>1.452991453*1.17</f>
        <v>1.70000000001</v>
      </c>
      <c r="P145" s="5">
        <f>N145*O145</f>
        <v>4210.9000000247697</v>
      </c>
      <c r="W145">
        <v>3300</v>
      </c>
      <c r="X145">
        <f>1.452991453*1.17</f>
        <v>1.70000000001</v>
      </c>
      <c r="Y145" s="35">
        <f>W145*X145</f>
        <v>5610.0000000330001</v>
      </c>
      <c r="AF145">
        <v>1715</v>
      </c>
      <c r="AG145">
        <f>1.452991453*1.17</f>
        <v>1.70000000001</v>
      </c>
      <c r="AH145" s="5">
        <f t="shared" si="6"/>
        <v>2915.5000000171499</v>
      </c>
      <c r="AL145">
        <v>1600</v>
      </c>
      <c r="AM145">
        <f>1.452991453*1.17</f>
        <v>1.70000000001</v>
      </c>
      <c r="AN145" s="5">
        <f>AL145*AM145</f>
        <v>2720.0000000159998</v>
      </c>
    </row>
    <row r="146" spans="1:40">
      <c r="B146" s="19" t="s">
        <v>148</v>
      </c>
      <c r="N146">
        <v>806</v>
      </c>
      <c r="O146" s="1">
        <v>1.7</v>
      </c>
      <c r="P146" s="5">
        <f>N146*O146</f>
        <v>1370.2</v>
      </c>
      <c r="AH146" s="5">
        <f t="shared" si="6"/>
        <v>0</v>
      </c>
    </row>
    <row r="147" spans="1:40">
      <c r="B147" s="19" t="s">
        <v>128</v>
      </c>
      <c r="D147">
        <v>1344</v>
      </c>
      <c r="F147" s="1">
        <f>2.8632478632*1.17</f>
        <v>3.3499999999439996</v>
      </c>
      <c r="G147" s="5">
        <f>3848.21+654.19</f>
        <v>4502.3999999999996</v>
      </c>
      <c r="W147">
        <v>995</v>
      </c>
      <c r="X147">
        <f>2.8632478632*1.17</f>
        <v>3.3499999999439996</v>
      </c>
      <c r="Y147" s="35">
        <f>W147*X147</f>
        <v>3333.2499999442794</v>
      </c>
      <c r="AC147">
        <v>644</v>
      </c>
      <c r="AD147">
        <f>2.8632478632*1.17</f>
        <v>3.3499999999439996</v>
      </c>
      <c r="AE147" s="35">
        <f>AC147*AD147</f>
        <v>2157.3999999639359</v>
      </c>
      <c r="AF147">
        <v>620</v>
      </c>
      <c r="AG147">
        <f>2.8632478632*1.17</f>
        <v>3.3499999999439996</v>
      </c>
      <c r="AH147" s="5">
        <f t="shared" si="6"/>
        <v>2076.9999999652796</v>
      </c>
      <c r="AL147">
        <v>482</v>
      </c>
      <c r="AM147">
        <f>2.8632478632*1.17</f>
        <v>3.3499999999439996</v>
      </c>
      <c r="AN147" s="5">
        <f>AL147*AM147</f>
        <v>1614.6999999730078</v>
      </c>
    </row>
    <row r="148" spans="1:40">
      <c r="B148" s="19" t="s">
        <v>129</v>
      </c>
      <c r="AH148" s="5">
        <f t="shared" si="6"/>
        <v>0</v>
      </c>
    </row>
    <row r="149" spans="1:40">
      <c r="B149" s="19" t="s">
        <v>145</v>
      </c>
      <c r="N149">
        <v>300</v>
      </c>
      <c r="O149" s="1">
        <f>4.2564102564*1.17</f>
        <v>4.9799999999879994</v>
      </c>
      <c r="P149" s="5">
        <f>N149*O149</f>
        <v>1493.9999999963998</v>
      </c>
      <c r="AF149">
        <v>150</v>
      </c>
      <c r="AG149">
        <f>4.2564102564*1.17</f>
        <v>4.9799999999879994</v>
      </c>
      <c r="AH149" s="5">
        <f t="shared" si="6"/>
        <v>746.99999999819988</v>
      </c>
      <c r="AL149">
        <v>232</v>
      </c>
      <c r="AM149">
        <f>4.2564102564*1.17</f>
        <v>4.9799999999879994</v>
      </c>
      <c r="AN149" s="5">
        <f>AL149*AM149</f>
        <v>1155.3599999972159</v>
      </c>
    </row>
    <row r="150" spans="1:40">
      <c r="B150" s="19" t="s">
        <v>160</v>
      </c>
      <c r="W150">
        <v>300</v>
      </c>
      <c r="X150">
        <f>4.2564102564*1.17</f>
        <v>4.9799999999879994</v>
      </c>
      <c r="Y150" s="35">
        <f>W150*X150</f>
        <v>1493.9999999963998</v>
      </c>
    </row>
    <row r="151" spans="1:40">
      <c r="B151" s="19" t="s">
        <v>146</v>
      </c>
      <c r="N151">
        <v>99</v>
      </c>
      <c r="O151" s="1">
        <f>4.444444444*1.17</f>
        <v>5.1999999994800001</v>
      </c>
      <c r="P151" s="5">
        <f>N151*O151</f>
        <v>514.79999994852005</v>
      </c>
      <c r="W151">
        <v>101</v>
      </c>
      <c r="X151" s="39">
        <f>4.444444444*1.17</f>
        <v>5.1999999994800001</v>
      </c>
      <c r="Y151" s="35">
        <f>W151*X151</f>
        <v>525.19999994748002</v>
      </c>
      <c r="AL151">
        <v>50</v>
      </c>
      <c r="AM151">
        <f>4.4444444444*1.17</f>
        <v>5.199999999948</v>
      </c>
      <c r="AN151" s="5">
        <f>AL151*AM151</f>
        <v>259.99999999739998</v>
      </c>
    </row>
    <row r="152" spans="1:40">
      <c r="B152" s="19"/>
      <c r="Z152">
        <v>5000</v>
      </c>
      <c r="AA152">
        <f>1.7344786325*1.17</f>
        <v>2.0293400000249999</v>
      </c>
      <c r="AB152" s="5">
        <f>Z152*AA152</f>
        <v>10146.700000125</v>
      </c>
    </row>
    <row r="153" spans="1:40">
      <c r="G153" s="26">
        <f>SUM(G138:G148)</f>
        <v>6002.4</v>
      </c>
      <c r="P153" s="5">
        <f>SUM(P138:P151)</f>
        <v>9229.8999999703883</v>
      </c>
    </row>
    <row r="154" spans="1:40">
      <c r="Y154" s="35">
        <f>SUM(Y138:Y153)</f>
        <v>11537.049999924538</v>
      </c>
      <c r="AE154" s="35">
        <f>SUM(AE138:AE153)</f>
        <v>2807.3999998989357</v>
      </c>
      <c r="AH154" s="5">
        <f>SUM(AH140:AH153)</f>
        <v>7499.4999999847196</v>
      </c>
      <c r="AN154" s="5">
        <f>SUM(AN140:AN153)</f>
        <v>6825.059999985473</v>
      </c>
    </row>
    <row r="155" spans="1:40" s="11" customFormat="1">
      <c r="A155" s="12" t="s">
        <v>134</v>
      </c>
      <c r="B155" s="20" t="s">
        <v>135</v>
      </c>
      <c r="C155" s="15">
        <v>618</v>
      </c>
      <c r="F155" s="21"/>
      <c r="G155" s="12"/>
      <c r="I155" s="21"/>
      <c r="J155" s="12"/>
      <c r="K155" s="11">
        <v>1</v>
      </c>
      <c r="L155" s="21">
        <v>28300</v>
      </c>
      <c r="M155" s="12">
        <v>28300</v>
      </c>
      <c r="O155" s="21"/>
      <c r="P155" s="12"/>
      <c r="R155" s="21"/>
      <c r="S155" s="12"/>
      <c r="U155" s="21"/>
      <c r="V155" s="12"/>
      <c r="W155" s="11">
        <v>1</v>
      </c>
      <c r="X155" s="11">
        <v>28300</v>
      </c>
      <c r="Y155" s="36">
        <v>28300</v>
      </c>
      <c r="AB155" s="12"/>
      <c r="AE155" s="36"/>
      <c r="AH155" s="12"/>
      <c r="AI155" s="11">
        <v>1</v>
      </c>
      <c r="AJ155" s="11">
        <v>28300</v>
      </c>
      <c r="AK155" s="12">
        <v>28300</v>
      </c>
      <c r="AN155" s="12"/>
    </row>
    <row r="157" spans="1:40" s="11" customFormat="1">
      <c r="A157" s="12" t="s">
        <v>138</v>
      </c>
      <c r="B157" s="18" t="s">
        <v>136</v>
      </c>
      <c r="C157" s="15"/>
      <c r="F157" s="21"/>
      <c r="G157" s="12"/>
      <c r="I157" s="21"/>
      <c r="J157" s="12"/>
      <c r="K157" s="11">
        <v>20580</v>
      </c>
      <c r="L157" s="21">
        <f>0.4273504274*1.17</f>
        <v>0.50000000005799994</v>
      </c>
      <c r="M157" s="12">
        <f>8794.87+1495.13</f>
        <v>10290</v>
      </c>
      <c r="N157" s="11">
        <v>10290</v>
      </c>
      <c r="O157" s="21">
        <f>0.4273504274*1.17</f>
        <v>0.50000000005799994</v>
      </c>
      <c r="P157" s="12">
        <f>N157*O157</f>
        <v>5145.0000005968195</v>
      </c>
      <c r="R157" s="21"/>
      <c r="S157" s="12"/>
      <c r="U157" s="21"/>
      <c r="V157" s="12"/>
      <c r="Y157" s="36"/>
      <c r="AB157" s="12"/>
      <c r="AE157" s="36"/>
      <c r="AH157" s="12"/>
      <c r="AK157" s="12"/>
      <c r="AL157" s="11">
        <v>16170</v>
      </c>
      <c r="AM157" s="11">
        <f>0.4273504274*1.17</f>
        <v>0.50000000005799994</v>
      </c>
      <c r="AN157" s="12">
        <f>AL157*AM157</f>
        <v>8085.0000009378591</v>
      </c>
    </row>
    <row r="158" spans="1:40">
      <c r="B158" s="19" t="s">
        <v>137</v>
      </c>
      <c r="K158">
        <v>4725</v>
      </c>
      <c r="L158" s="1">
        <f>0.1435897436*1.17</f>
        <v>0.16800000001199999</v>
      </c>
      <c r="M158" s="5">
        <f>678.46+115.34</f>
        <v>793.80000000000007</v>
      </c>
    </row>
    <row r="159" spans="1:40" s="42" customFormat="1">
      <c r="A159" s="40"/>
      <c r="B159" s="19" t="s">
        <v>177</v>
      </c>
      <c r="C159" s="41"/>
      <c r="F159" s="43"/>
      <c r="G159" s="40"/>
      <c r="I159" s="43"/>
      <c r="J159" s="40"/>
      <c r="L159" s="43"/>
      <c r="M159" s="40">
        <f>SUM(M157:M158)</f>
        <v>11083.8</v>
      </c>
      <c r="O159" s="43"/>
      <c r="P159" s="40"/>
      <c r="R159" s="43"/>
      <c r="S159" s="40"/>
      <c r="U159" s="43"/>
      <c r="V159" s="40"/>
      <c r="Y159" s="44"/>
      <c r="AB159" s="40"/>
      <c r="AE159" s="44"/>
      <c r="AF159" s="42">
        <v>10290</v>
      </c>
      <c r="AG159" s="42">
        <f>0.4273504274*1.17</f>
        <v>0.50000000005799994</v>
      </c>
      <c r="AH159" s="40">
        <f>AF159*AG159</f>
        <v>5145.0000005968195</v>
      </c>
      <c r="AK159" s="40"/>
      <c r="AN159" s="40"/>
    </row>
    <row r="160" spans="1:40">
      <c r="A160" s="5" t="s">
        <v>171</v>
      </c>
      <c r="B160" s="14" t="s">
        <v>172</v>
      </c>
      <c r="AF160">
        <v>8</v>
      </c>
      <c r="AG160">
        <f>384.61538462*1.17</f>
        <v>450.00000000539995</v>
      </c>
      <c r="AH160" s="5">
        <f>AF160*AG160</f>
        <v>3600.0000000431996</v>
      </c>
    </row>
    <row r="161" spans="1:40" s="42" customFormat="1">
      <c r="A161" s="40"/>
      <c r="B161" s="41"/>
      <c r="C161" s="41"/>
      <c r="F161" s="43"/>
      <c r="G161" s="40"/>
      <c r="I161" s="43"/>
      <c r="J161" s="40"/>
      <c r="L161" s="43"/>
      <c r="M161" s="40"/>
      <c r="O161" s="43"/>
      <c r="P161" s="40"/>
      <c r="R161" s="43"/>
      <c r="S161" s="40"/>
      <c r="U161" s="43"/>
      <c r="V161" s="40"/>
      <c r="Y161" s="44"/>
      <c r="AB161" s="40"/>
      <c r="AE161" s="44"/>
      <c r="AH161" s="40"/>
      <c r="AK161" s="40"/>
      <c r="AN161" s="40"/>
    </row>
    <row r="162" spans="1:40">
      <c r="A162" s="5" t="s">
        <v>173</v>
      </c>
      <c r="B162" s="14" t="s">
        <v>174</v>
      </c>
      <c r="AF162">
        <f>30+500</f>
        <v>530</v>
      </c>
      <c r="AG162">
        <f>72.64957265*1.17</f>
        <v>85.000000000499995</v>
      </c>
      <c r="AH162" s="5">
        <f>AF162*AG162</f>
        <v>45050.000000264998</v>
      </c>
      <c r="AI162">
        <v>510</v>
      </c>
      <c r="AJ162">
        <f>73.504273504*1.17</f>
        <v>85.999999999679986</v>
      </c>
      <c r="AK162" s="5">
        <f>AI162*AJ162</f>
        <v>43859.999999836793</v>
      </c>
    </row>
    <row r="163" spans="1:40">
      <c r="B163" s="14" t="s">
        <v>175</v>
      </c>
      <c r="AF163">
        <f>30+200</f>
        <v>230</v>
      </c>
      <c r="AG163" t="s">
        <v>176</v>
      </c>
      <c r="AH163" s="5">
        <f>5910+66700</f>
        <v>72610</v>
      </c>
      <c r="AI163">
        <v>300</v>
      </c>
      <c r="AJ163">
        <f>96.581196581*1.17</f>
        <v>112.99999999977</v>
      </c>
      <c r="AK163" s="5">
        <f>AI163*AJ163</f>
        <v>33899.999999931002</v>
      </c>
    </row>
    <row r="165" spans="1:40">
      <c r="AH165" s="5">
        <f>SUM(AH162:AH164)</f>
        <v>117660.00000026499</v>
      </c>
    </row>
  </sheetData>
  <mergeCells count="12">
    <mergeCell ref="AL1:AN1"/>
    <mergeCell ref="D1:G1"/>
    <mergeCell ref="H1:J1"/>
    <mergeCell ref="K1:M1"/>
    <mergeCell ref="N1:P1"/>
    <mergeCell ref="Q1:S1"/>
    <mergeCell ref="AI1:AK1"/>
    <mergeCell ref="AF1:AH1"/>
    <mergeCell ref="T1:V1"/>
    <mergeCell ref="W1:Y1"/>
    <mergeCell ref="Z1:AB1"/>
    <mergeCell ref="AC1:A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181"/>
  <sheetViews>
    <sheetView workbookViewId="0">
      <pane xSplit="6" ySplit="3" topLeftCell="X91" activePane="bottomRight" state="frozen"/>
      <selection pane="topRight" activeCell="G1" sqref="G1"/>
      <selection pane="bottomLeft" activeCell="A4" sqref="A4"/>
      <selection pane="bottomRight" activeCell="AJ98" sqref="AJ98"/>
    </sheetView>
  </sheetViews>
  <sheetFormatPr defaultRowHeight="14.4"/>
  <cols>
    <col min="1" max="1" width="11" style="5" bestFit="1" customWidth="1"/>
    <col min="2" max="2" width="26.109375" style="14" bestFit="1" customWidth="1"/>
    <col min="3" max="3" width="11.6640625" style="14" customWidth="1"/>
    <col min="4" max="4" width="7.44140625" hidden="1" customWidth="1"/>
    <col min="5" max="5" width="12.44140625" hidden="1" customWidth="1"/>
    <col min="6" max="6" width="9.33203125" style="1" hidden="1" customWidth="1"/>
    <col min="7" max="7" width="12.77734375" style="5" bestFit="1" customWidth="1"/>
    <col min="8" max="8" width="7.5546875" bestFit="1" customWidth="1"/>
    <col min="9" max="9" width="7.21875" style="1" customWidth="1"/>
    <col min="10" max="10" width="6.44140625" style="5" customWidth="1"/>
    <col min="11" max="11" width="6.33203125" customWidth="1"/>
    <col min="12" max="12" width="7" style="1" customWidth="1"/>
    <col min="13" max="13" width="6.33203125" style="5" customWidth="1"/>
    <col min="14" max="14" width="6" customWidth="1"/>
    <col min="15" max="15" width="9.77734375" style="45" customWidth="1"/>
    <col min="16" max="16" width="6.88671875" style="5" customWidth="1"/>
    <col min="17" max="17" width="6.88671875" customWidth="1"/>
    <col min="18" max="18" width="7.44140625" style="1" customWidth="1"/>
    <col min="19" max="19" width="9.77734375" style="5" customWidth="1"/>
    <col min="20" max="20" width="8.33203125" customWidth="1"/>
    <col min="21" max="21" width="8.44140625" style="1" customWidth="1"/>
    <col min="22" max="22" width="6.33203125" style="5" customWidth="1"/>
    <col min="23" max="23" width="7.5546875" bestFit="1" customWidth="1"/>
    <col min="24" max="24" width="7.44140625" bestFit="1" customWidth="1"/>
    <col min="25" max="25" width="11.6640625" style="35" bestFit="1" customWidth="1"/>
    <col min="26" max="26" width="7.44140625" bestFit="1" customWidth="1"/>
    <col min="27" max="27" width="8.44140625" bestFit="1" customWidth="1"/>
    <col min="28" max="28" width="12.77734375" style="5" bestFit="1" customWidth="1"/>
    <col min="29" max="29" width="8.44140625" bestFit="1" customWidth="1"/>
    <col min="30" max="30" width="9.21875" customWidth="1"/>
    <col min="31" max="31" width="10.44140625" style="35" bestFit="1" customWidth="1"/>
    <col min="32" max="32" width="7.5546875" bestFit="1" customWidth="1"/>
    <col min="33" max="33" width="8.21875" customWidth="1"/>
    <col min="34" max="34" width="12.77734375" style="5" bestFit="1" customWidth="1"/>
    <col min="35" max="35" width="7.5546875" bestFit="1" customWidth="1"/>
    <col min="36" max="36" width="5.77734375" customWidth="1"/>
    <col min="37" max="37" width="9.44140625" style="5" bestFit="1" customWidth="1"/>
    <col min="38" max="38" width="7.44140625" bestFit="1" customWidth="1"/>
    <col min="39" max="39" width="8.6640625" customWidth="1"/>
    <col min="40" max="40" width="12.77734375" style="5" bestFit="1" customWidth="1"/>
  </cols>
  <sheetData>
    <row r="1" spans="1:40">
      <c r="D1" s="112" t="s">
        <v>35</v>
      </c>
      <c r="E1" s="112"/>
      <c r="F1" s="112"/>
      <c r="G1" s="112"/>
      <c r="H1" s="112" t="s">
        <v>36</v>
      </c>
      <c r="I1" s="112"/>
      <c r="J1" s="112"/>
      <c r="K1" s="112" t="s">
        <v>37</v>
      </c>
      <c r="L1" s="112"/>
      <c r="M1" s="112"/>
      <c r="N1" s="112" t="s">
        <v>139</v>
      </c>
      <c r="O1" s="112"/>
      <c r="P1" s="112"/>
      <c r="Q1" s="113" t="s">
        <v>149</v>
      </c>
      <c r="R1" s="113"/>
      <c r="S1" s="114"/>
      <c r="T1" s="115" t="s">
        <v>153</v>
      </c>
      <c r="U1" s="113"/>
      <c r="V1" s="114"/>
      <c r="W1" s="115" t="s">
        <v>156</v>
      </c>
      <c r="X1" s="113"/>
      <c r="Y1" s="114"/>
      <c r="Z1" s="115" t="s">
        <v>162</v>
      </c>
      <c r="AA1" s="113"/>
      <c r="AB1" s="114"/>
      <c r="AC1" s="112" t="s">
        <v>166</v>
      </c>
      <c r="AD1" s="112"/>
      <c r="AE1" s="112"/>
      <c r="AF1" s="112" t="s">
        <v>170</v>
      </c>
      <c r="AG1" s="112"/>
      <c r="AH1" s="112"/>
      <c r="AI1" s="112" t="s">
        <v>178</v>
      </c>
      <c r="AJ1" s="112"/>
      <c r="AK1" s="112"/>
      <c r="AL1" s="112" t="s">
        <v>182</v>
      </c>
      <c r="AM1" s="112"/>
      <c r="AN1" s="112"/>
    </row>
    <row r="2" spans="1:40">
      <c r="C2" s="14" t="s">
        <v>32</v>
      </c>
      <c r="D2" t="s">
        <v>4</v>
      </c>
      <c r="F2" s="1" t="s">
        <v>33</v>
      </c>
      <c r="G2" s="5" t="s">
        <v>31</v>
      </c>
      <c r="H2" t="s">
        <v>4</v>
      </c>
      <c r="I2" s="1" t="s">
        <v>33</v>
      </c>
      <c r="J2" s="5" t="s">
        <v>31</v>
      </c>
      <c r="K2" t="s">
        <v>4</v>
      </c>
      <c r="L2" s="1" t="s">
        <v>33</v>
      </c>
      <c r="M2" s="5" t="s">
        <v>31</v>
      </c>
      <c r="N2" s="9" t="s">
        <v>4</v>
      </c>
      <c r="O2" s="48" t="s">
        <v>33</v>
      </c>
      <c r="P2" s="10" t="s">
        <v>31</v>
      </c>
      <c r="Q2" s="9" t="s">
        <v>4</v>
      </c>
      <c r="R2" s="24" t="s">
        <v>33</v>
      </c>
      <c r="S2" s="5" t="s">
        <v>31</v>
      </c>
      <c r="T2" s="9" t="s">
        <v>4</v>
      </c>
      <c r="U2" s="24" t="s">
        <v>33</v>
      </c>
      <c r="V2" s="5" t="s">
        <v>31</v>
      </c>
      <c r="W2" s="9" t="s">
        <v>4</v>
      </c>
      <c r="X2" s="9" t="s">
        <v>33</v>
      </c>
      <c r="Y2" s="35" t="s">
        <v>31</v>
      </c>
      <c r="Z2" s="9" t="s">
        <v>4</v>
      </c>
      <c r="AA2" s="9" t="s">
        <v>33</v>
      </c>
      <c r="AB2" s="5" t="s">
        <v>31</v>
      </c>
      <c r="AC2" s="9" t="s">
        <v>4</v>
      </c>
      <c r="AD2" s="9" t="s">
        <v>33</v>
      </c>
      <c r="AE2" s="35" t="s">
        <v>31</v>
      </c>
      <c r="AF2" s="9" t="s">
        <v>4</v>
      </c>
      <c r="AG2" s="9" t="s">
        <v>33</v>
      </c>
      <c r="AH2" s="5" t="s">
        <v>31</v>
      </c>
      <c r="AI2" s="9" t="s">
        <v>4</v>
      </c>
      <c r="AJ2" s="9" t="s">
        <v>33</v>
      </c>
      <c r="AK2" s="5" t="s">
        <v>31</v>
      </c>
      <c r="AL2" s="9" t="s">
        <v>4</v>
      </c>
      <c r="AM2" s="9" t="s">
        <v>33</v>
      </c>
      <c r="AN2" s="10" t="s">
        <v>31</v>
      </c>
    </row>
    <row r="3" spans="1:40">
      <c r="M3" s="5">
        <f>SUM(M24:M30)</f>
        <v>5973.9999999430001</v>
      </c>
    </row>
    <row r="4" spans="1:40" s="11" customFormat="1">
      <c r="A4" s="12" t="s">
        <v>5</v>
      </c>
      <c r="B4" s="15" t="s">
        <v>6</v>
      </c>
      <c r="C4" s="15">
        <v>1.54</v>
      </c>
      <c r="D4" s="11">
        <v>300</v>
      </c>
      <c r="F4" s="21">
        <f>90.598290598*1.17</f>
        <v>105.99999999966001</v>
      </c>
      <c r="G4" s="12">
        <f>D4*F4</f>
        <v>31799.999999898002</v>
      </c>
      <c r="H4" s="13">
        <v>600</v>
      </c>
      <c r="I4" s="21">
        <f>89.743589744*1.17</f>
        <v>105.00000000048</v>
      </c>
      <c r="J4" s="12">
        <f>H4*I4</f>
        <v>63000.000000287997</v>
      </c>
      <c r="L4" s="21"/>
      <c r="M4" s="12"/>
      <c r="N4" s="11">
        <v>600</v>
      </c>
      <c r="O4" s="49">
        <f>83.760683761*1.17</f>
        <v>98.000000000369994</v>
      </c>
      <c r="P4" s="12">
        <f>N4*O4</f>
        <v>58800.000000221997</v>
      </c>
      <c r="R4" s="21"/>
      <c r="S4" s="12"/>
      <c r="T4" s="11">
        <v>600</v>
      </c>
      <c r="U4" s="21">
        <f>82.905982906*1.17</f>
        <v>97.000000000019995</v>
      </c>
      <c r="V4" s="12"/>
      <c r="Y4" s="36"/>
      <c r="Z4" s="11">
        <v>600</v>
      </c>
      <c r="AA4" s="11">
        <f>79.487179487*1.17</f>
        <v>92.999999999790006</v>
      </c>
      <c r="AB4" s="12"/>
      <c r="AC4" s="11">
        <v>600</v>
      </c>
      <c r="AD4" s="11">
        <f>73.504273504*1.17</f>
        <v>85.999999999679986</v>
      </c>
      <c r="AE4" s="36"/>
      <c r="AH4" s="12"/>
      <c r="AI4" s="11">
        <v>600</v>
      </c>
      <c r="AJ4" s="11">
        <f>69.230769231*1.17</f>
        <v>81.000000000269992</v>
      </c>
      <c r="AK4" s="12"/>
      <c r="AL4" s="11">
        <v>600</v>
      </c>
      <c r="AM4" s="11">
        <f>64.957264957*1.17</f>
        <v>75.999999999690004</v>
      </c>
      <c r="AN4" s="12"/>
    </row>
    <row r="5" spans="1:40">
      <c r="B5" s="14" t="s">
        <v>15</v>
      </c>
    </row>
    <row r="6" spans="1:40">
      <c r="B6" s="14" t="s">
        <v>16</v>
      </c>
      <c r="C6" s="14">
        <v>1.54</v>
      </c>
      <c r="D6">
        <v>1005</v>
      </c>
      <c r="F6" s="1">
        <f>70.94017094*1.17</f>
        <v>82.999999999799996</v>
      </c>
      <c r="G6" s="5">
        <f>D6*F6</f>
        <v>83414.999999798994</v>
      </c>
      <c r="H6" s="9">
        <v>300</v>
      </c>
      <c r="I6" s="1">
        <f>59.829059829*1.17</f>
        <v>69.999999999929997</v>
      </c>
      <c r="J6" s="5">
        <f>H6*I6</f>
        <v>20999.999999978998</v>
      </c>
      <c r="T6">
        <v>120</v>
      </c>
      <c r="U6" s="1">
        <f>55.5555555*1.17</f>
        <v>64.999999934999991</v>
      </c>
    </row>
    <row r="7" spans="1:40">
      <c r="B7" s="14" t="s">
        <v>17</v>
      </c>
      <c r="C7" s="14">
        <v>2</v>
      </c>
      <c r="T7">
        <v>20</v>
      </c>
      <c r="U7" s="1">
        <f>112.60683761*1.17</f>
        <v>131.75000000369999</v>
      </c>
    </row>
    <row r="8" spans="1:40">
      <c r="B8" s="14" t="s">
        <v>19</v>
      </c>
      <c r="AC8">
        <v>10</v>
      </c>
      <c r="AD8">
        <f>25.641025641*1.17</f>
        <v>29.999999999969997</v>
      </c>
    </row>
    <row r="9" spans="1:40">
      <c r="B9" s="14" t="s">
        <v>39</v>
      </c>
      <c r="C9" s="14">
        <v>1.54</v>
      </c>
      <c r="D9" s="3"/>
      <c r="F9" s="23"/>
    </row>
    <row r="10" spans="1:40">
      <c r="D10" s="3"/>
      <c r="F10" s="23"/>
    </row>
    <row r="11" spans="1:40" s="11" customFormat="1">
      <c r="A11" s="12" t="s">
        <v>20</v>
      </c>
      <c r="B11" s="15" t="s">
        <v>212</v>
      </c>
      <c r="C11" s="15">
        <v>1.54</v>
      </c>
      <c r="F11" s="21"/>
      <c r="G11" s="12"/>
      <c r="I11" s="21"/>
      <c r="J11" s="12"/>
      <c r="L11" s="21"/>
      <c r="M11" s="12"/>
      <c r="O11" s="49"/>
      <c r="P11" s="12"/>
      <c r="R11" s="21"/>
      <c r="S11" s="12"/>
      <c r="U11" s="21"/>
      <c r="V11" s="12"/>
      <c r="Y11" s="36"/>
      <c r="Z11" s="11">
        <v>600</v>
      </c>
      <c r="AA11" s="11">
        <f>68.803418803*1.17</f>
        <v>80.499999999509996</v>
      </c>
      <c r="AB11" s="12"/>
      <c r="AC11">
        <v>600</v>
      </c>
      <c r="AD11">
        <f>63.675213675*1.17</f>
        <v>74.499999999750003</v>
      </c>
      <c r="AE11" s="36"/>
      <c r="AH11" s="12"/>
      <c r="AK11" s="12"/>
      <c r="AN11" s="12"/>
    </row>
    <row r="12" spans="1:40">
      <c r="B12" s="14" t="s">
        <v>22</v>
      </c>
      <c r="C12" s="14">
        <v>1.54</v>
      </c>
      <c r="T12">
        <v>60</v>
      </c>
      <c r="U12" s="1">
        <f>83.760683761*1.17</f>
        <v>98.000000000369994</v>
      </c>
    </row>
    <row r="13" spans="1:40">
      <c r="B13" s="14" t="s">
        <v>16</v>
      </c>
      <c r="C13" s="14">
        <v>1.54</v>
      </c>
    </row>
    <row r="14" spans="1:40">
      <c r="B14" s="14" t="s">
        <v>213</v>
      </c>
      <c r="C14" s="14">
        <v>1.6</v>
      </c>
    </row>
    <row r="15" spans="1:40">
      <c r="B15" s="14" t="s">
        <v>22</v>
      </c>
      <c r="C15" s="14">
        <v>1.6</v>
      </c>
    </row>
    <row r="16" spans="1:40" s="32" customFormat="1">
      <c r="A16" s="29"/>
      <c r="B16" s="28" t="s">
        <v>155</v>
      </c>
      <c r="C16" s="30">
        <v>1.54</v>
      </c>
      <c r="D16" s="31"/>
      <c r="F16" s="33"/>
      <c r="G16" s="34"/>
      <c r="I16" s="31"/>
      <c r="J16" s="34"/>
      <c r="L16" s="31"/>
      <c r="M16" s="34"/>
      <c r="O16" s="50"/>
      <c r="P16" s="34"/>
      <c r="R16" s="31"/>
      <c r="S16" s="34"/>
      <c r="U16" s="31"/>
      <c r="V16" s="34"/>
      <c r="Y16" s="38"/>
      <c r="AB16" s="34"/>
      <c r="AE16" s="38"/>
      <c r="AH16" s="34"/>
      <c r="AK16" s="34"/>
      <c r="AN16" s="34"/>
    </row>
    <row r="17" spans="1:40">
      <c r="B17" s="14" t="s">
        <v>218</v>
      </c>
      <c r="C17" s="14">
        <v>1.54</v>
      </c>
      <c r="AF17">
        <v>210</v>
      </c>
      <c r="AG17">
        <f>46.153846154*1.17</f>
        <v>54.000000000179995</v>
      </c>
      <c r="AI17">
        <v>300</v>
      </c>
      <c r="AJ17">
        <f>43.162393162*1.17</f>
        <v>50.499999999539995</v>
      </c>
    </row>
    <row r="18" spans="1:40" s="6" customFormat="1">
      <c r="A18" s="8"/>
      <c r="B18" s="16"/>
      <c r="C18" s="16"/>
      <c r="F18" s="22"/>
      <c r="G18" s="8"/>
      <c r="I18" s="22"/>
      <c r="J18" s="8"/>
      <c r="L18" s="22"/>
      <c r="M18" s="8"/>
      <c r="O18" s="51"/>
      <c r="P18" s="8"/>
      <c r="R18" s="22"/>
      <c r="S18" s="8"/>
      <c r="U18" s="22"/>
      <c r="V18" s="8"/>
      <c r="Y18" s="37"/>
      <c r="AB18" s="8"/>
      <c r="AE18" s="37"/>
      <c r="AH18" s="8"/>
      <c r="AK18" s="8"/>
      <c r="AN18" s="8"/>
    </row>
    <row r="19" spans="1:40">
      <c r="A19" s="5" t="s">
        <v>173</v>
      </c>
      <c r="B19" s="14" t="s">
        <v>216</v>
      </c>
      <c r="K19">
        <v>540</v>
      </c>
      <c r="L19" s="1">
        <f>66.239316239*1.17</f>
        <v>77.499999999630006</v>
      </c>
      <c r="M19" s="5">
        <f>K19*L19</f>
        <v>41849.999999800202</v>
      </c>
      <c r="N19">
        <v>450</v>
      </c>
      <c r="O19" s="45">
        <f>66.239316239*1.17</f>
        <v>77.499999999630006</v>
      </c>
      <c r="P19" s="5">
        <f>N19*O19</f>
        <v>34874.999999833504</v>
      </c>
      <c r="Q19">
        <v>600</v>
      </c>
      <c r="R19" s="1">
        <f>64.957264957*1.17</f>
        <v>75.999999999690004</v>
      </c>
      <c r="S19" s="5">
        <f>Q19*R19</f>
        <v>45599.999999814005</v>
      </c>
      <c r="T19">
        <v>990</v>
      </c>
      <c r="U19" s="1">
        <f>64.957264957*1.17</f>
        <v>75.999999999690004</v>
      </c>
      <c r="AF19">
        <v>600</v>
      </c>
      <c r="AG19">
        <f>57.264957265*1.17</f>
        <v>67.000000000049994</v>
      </c>
      <c r="AI19">
        <v>1000</v>
      </c>
      <c r="AJ19">
        <f>52.136752137*1.17</f>
        <v>61.000000000290001</v>
      </c>
    </row>
    <row r="20" spans="1:40">
      <c r="B20" s="14" t="s">
        <v>175</v>
      </c>
    </row>
    <row r="21" spans="1:40">
      <c r="B21" s="14" t="s">
        <v>223</v>
      </c>
      <c r="AI21">
        <v>600</v>
      </c>
      <c r="AJ21">
        <f>53.846153846*1.17</f>
        <v>62.999999999819998</v>
      </c>
    </row>
    <row r="22" spans="1:40" s="11" customFormat="1">
      <c r="A22" s="12" t="s">
        <v>0</v>
      </c>
      <c r="B22" s="15" t="s">
        <v>1</v>
      </c>
      <c r="C22" s="15" t="s">
        <v>2</v>
      </c>
      <c r="F22" s="21"/>
      <c r="G22" s="12"/>
      <c r="I22" s="21"/>
      <c r="J22" s="12"/>
      <c r="L22" s="21"/>
      <c r="M22" s="12"/>
      <c r="O22" s="49"/>
      <c r="P22" s="12"/>
      <c r="R22" s="21"/>
      <c r="S22" s="12"/>
      <c r="U22" s="21"/>
      <c r="V22" s="12"/>
      <c r="Y22" s="36"/>
      <c r="AB22" s="12"/>
      <c r="AE22" s="36"/>
      <c r="AH22" s="12"/>
      <c r="AK22" s="12"/>
      <c r="AN22" s="12"/>
    </row>
    <row r="23" spans="1:40">
      <c r="B23" s="14" t="s">
        <v>1</v>
      </c>
      <c r="C23" s="14" t="s">
        <v>3</v>
      </c>
      <c r="V23" s="12"/>
    </row>
    <row r="24" spans="1:40">
      <c r="C24" s="14" t="s">
        <v>23</v>
      </c>
      <c r="K24">
        <v>150</v>
      </c>
      <c r="L24" s="1">
        <f>24.786324786*1.17</f>
        <v>28.999999999620002</v>
      </c>
      <c r="M24" s="5">
        <f>K24*L24</f>
        <v>4349.9999999430001</v>
      </c>
      <c r="Q24">
        <v>150</v>
      </c>
      <c r="R24" s="1">
        <f>24.786324786*1.17</f>
        <v>28.999999999620002</v>
      </c>
      <c r="S24" s="5">
        <f>Q24*R24</f>
        <v>4349.9999999430001</v>
      </c>
      <c r="T24">
        <v>150</v>
      </c>
      <c r="U24" s="47">
        <f>23.931623932*1.17</f>
        <v>28.00000000044</v>
      </c>
      <c r="W24">
        <v>150</v>
      </c>
      <c r="X24">
        <v>28</v>
      </c>
      <c r="AC24">
        <v>150</v>
      </c>
      <c r="AD24">
        <v>28</v>
      </c>
      <c r="AF24">
        <v>150</v>
      </c>
      <c r="AG24" s="47">
        <f>23.931623932*1.17</f>
        <v>28.00000000044</v>
      </c>
      <c r="AL24">
        <f>300</f>
        <v>300</v>
      </c>
      <c r="AM24" s="47">
        <f>23.931623932*1.17</f>
        <v>28.00000000044</v>
      </c>
    </row>
    <row r="25" spans="1:40">
      <c r="C25" s="14" t="s">
        <v>26</v>
      </c>
    </row>
    <row r="26" spans="1:40">
      <c r="C26" s="14" t="s">
        <v>27</v>
      </c>
    </row>
    <row r="27" spans="1:40">
      <c r="C27" s="14" t="s">
        <v>28</v>
      </c>
      <c r="K27">
        <v>56</v>
      </c>
      <c r="L27" s="1">
        <v>29</v>
      </c>
      <c r="M27" s="5">
        <f>K27*L27</f>
        <v>1624</v>
      </c>
      <c r="Q27">
        <v>56</v>
      </c>
      <c r="R27" s="1">
        <f>24.786324786*1.17</f>
        <v>28.999999999620002</v>
      </c>
      <c r="S27" s="5">
        <f>Q27*R27</f>
        <v>1623.9999999787201</v>
      </c>
      <c r="T27">
        <v>56</v>
      </c>
      <c r="U27" s="47">
        <v>28</v>
      </c>
      <c r="W27">
        <v>60</v>
      </c>
      <c r="X27">
        <v>28</v>
      </c>
      <c r="AC27">
        <v>45</v>
      </c>
      <c r="AD27">
        <v>28</v>
      </c>
      <c r="AF27">
        <v>55</v>
      </c>
      <c r="AG27" s="47">
        <f>23.931623932*1.17</f>
        <v>28.00000000044</v>
      </c>
      <c r="AL27">
        <v>120</v>
      </c>
      <c r="AM27" s="47">
        <f>23.931623932*1.17</f>
        <v>28.00000000044</v>
      </c>
    </row>
    <row r="28" spans="1:40">
      <c r="C28" s="14" t="s">
        <v>196</v>
      </c>
      <c r="Q28">
        <v>10</v>
      </c>
      <c r="R28" s="1">
        <f>55.555555556*1.17</f>
        <v>65.000000000520004</v>
      </c>
      <c r="S28" s="5">
        <f t="shared" ref="S28:S29" si="0">Q28*R28</f>
        <v>650.00000000520004</v>
      </c>
    </row>
    <row r="29" spans="1:40">
      <c r="C29" s="14" t="s">
        <v>197</v>
      </c>
      <c r="Q29">
        <v>20</v>
      </c>
      <c r="R29" s="1">
        <f>47.008547009*1.17</f>
        <v>55.000000000529994</v>
      </c>
      <c r="S29" s="5">
        <f t="shared" si="0"/>
        <v>1100.0000000105999</v>
      </c>
    </row>
    <row r="30" spans="1:40" s="6" customFormat="1">
      <c r="A30" s="8"/>
      <c r="B30" s="16"/>
      <c r="C30" s="16"/>
      <c r="D30" s="7"/>
      <c r="F30" s="22"/>
      <c r="G30" s="8"/>
      <c r="I30" s="22"/>
      <c r="J30" s="8"/>
      <c r="L30" s="22"/>
      <c r="M30" s="8"/>
      <c r="O30" s="51"/>
      <c r="P30" s="8"/>
      <c r="R30" s="22"/>
      <c r="S30" s="8"/>
      <c r="U30" s="22"/>
      <c r="V30" s="8"/>
      <c r="Y30" s="37"/>
      <c r="AB30" s="8"/>
      <c r="AE30" s="37"/>
      <c r="AH30" s="8"/>
      <c r="AK30" s="8"/>
      <c r="AN30" s="8"/>
    </row>
    <row r="31" spans="1:40" s="11" customFormat="1">
      <c r="A31" s="12" t="s">
        <v>7</v>
      </c>
      <c r="B31" s="15" t="s">
        <v>8</v>
      </c>
      <c r="C31" s="15" t="s">
        <v>9</v>
      </c>
      <c r="F31" s="21"/>
      <c r="G31" s="12"/>
      <c r="I31" s="21"/>
      <c r="J31" s="12"/>
      <c r="L31" s="21"/>
      <c r="M31" s="12"/>
      <c r="O31" s="49"/>
      <c r="P31" s="12"/>
      <c r="R31" s="21"/>
      <c r="S31" s="12"/>
      <c r="U31" s="21"/>
      <c r="V31" s="12"/>
      <c r="Y31" s="36"/>
      <c r="AB31" s="12"/>
      <c r="AE31" s="36"/>
      <c r="AH31" s="12"/>
      <c r="AK31" s="12"/>
      <c r="AN31" s="12"/>
    </row>
    <row r="32" spans="1:40">
      <c r="C32" s="14" t="s">
        <v>30</v>
      </c>
      <c r="D32">
        <v>150</v>
      </c>
      <c r="F32" s="1">
        <f>15.811965812*1.17</f>
        <v>18.50000000004</v>
      </c>
      <c r="G32" s="5">
        <f>D32*F32</f>
        <v>2775.0000000059999</v>
      </c>
      <c r="H32">
        <v>600</v>
      </c>
      <c r="I32" s="1">
        <f>15.811965812*1.17</f>
        <v>18.50000000004</v>
      </c>
      <c r="J32" s="5">
        <f>H32*I32</f>
        <v>11100.000000024</v>
      </c>
      <c r="Q32">
        <v>180</v>
      </c>
      <c r="R32" s="1">
        <v>18</v>
      </c>
      <c r="S32" s="5">
        <f>Q32*R32</f>
        <v>3240</v>
      </c>
      <c r="W32">
        <v>210</v>
      </c>
      <c r="X32">
        <f>15.384615385*1.17</f>
        <v>18.000000000449997</v>
      </c>
      <c r="Z32">
        <v>300</v>
      </c>
      <c r="AA32">
        <f>15.3846115385*1.17</f>
        <v>17.999995500044999</v>
      </c>
      <c r="AC32">
        <v>120</v>
      </c>
      <c r="AD32">
        <v>18</v>
      </c>
      <c r="AF32">
        <v>210</v>
      </c>
      <c r="AG32">
        <f>15.3846115385*1.17</f>
        <v>17.999995500044999</v>
      </c>
    </row>
    <row r="33" spans="1:40">
      <c r="C33" s="14" t="s">
        <v>10</v>
      </c>
      <c r="H33">
        <v>120</v>
      </c>
      <c r="I33" s="1">
        <v>18.5</v>
      </c>
      <c r="J33" s="5">
        <f>H33*I33</f>
        <v>2220</v>
      </c>
      <c r="Q33">
        <v>180</v>
      </c>
      <c r="R33" s="1">
        <f>15.384615385*1.17</f>
        <v>18.000000000449997</v>
      </c>
      <c r="S33" s="5">
        <f>Q33*R33</f>
        <v>3240.0000000809996</v>
      </c>
      <c r="T33">
        <v>180</v>
      </c>
      <c r="U33" s="1">
        <v>18</v>
      </c>
      <c r="Z33">
        <v>210</v>
      </c>
      <c r="AA33">
        <v>18</v>
      </c>
    </row>
    <row r="34" spans="1:40">
      <c r="C34" s="14" t="s">
        <v>25</v>
      </c>
    </row>
    <row r="35" spans="1:40">
      <c r="C35" s="14" t="s">
        <v>11</v>
      </c>
      <c r="D35">
        <f>342+48</f>
        <v>390</v>
      </c>
      <c r="F35" s="1" t="s">
        <v>186</v>
      </c>
      <c r="G35" s="5">
        <f>342*18+48*18.5</f>
        <v>7044</v>
      </c>
      <c r="H35">
        <f>228+36+144</f>
        <v>408</v>
      </c>
      <c r="I35" s="1" t="s">
        <v>189</v>
      </c>
      <c r="J35" s="5">
        <f>4884+2215.38+376.62</f>
        <v>7476</v>
      </c>
      <c r="K35">
        <v>270</v>
      </c>
      <c r="L35" s="1">
        <v>18</v>
      </c>
      <c r="M35" s="5">
        <f>K35*L35</f>
        <v>4860</v>
      </c>
      <c r="N35">
        <v>366</v>
      </c>
      <c r="O35" s="45">
        <f>18</f>
        <v>18</v>
      </c>
      <c r="P35" s="5">
        <f>N35*O35</f>
        <v>6588</v>
      </c>
      <c r="Q35" s="9">
        <f>60+120+60</f>
        <v>240</v>
      </c>
      <c r="R35" s="24" t="s">
        <v>203</v>
      </c>
      <c r="S35" s="5">
        <v>4290</v>
      </c>
      <c r="T35">
        <f>60+288</f>
        <v>348</v>
      </c>
      <c r="U35" s="1" t="s">
        <v>206</v>
      </c>
      <c r="W35" s="9">
        <f>450+66</f>
        <v>516</v>
      </c>
      <c r="X35" t="s">
        <v>207</v>
      </c>
      <c r="Z35">
        <f>96+66+60</f>
        <v>222</v>
      </c>
      <c r="AA35" t="s">
        <v>211</v>
      </c>
      <c r="AC35">
        <f>42+306</f>
        <v>348</v>
      </c>
      <c r="AD35" t="s">
        <v>214</v>
      </c>
      <c r="AF35">
        <f>90+372</f>
        <v>462</v>
      </c>
      <c r="AG35" t="s">
        <v>206</v>
      </c>
      <c r="AI35" s="9">
        <v>150</v>
      </c>
      <c r="AJ35" s="1">
        <f>14.957264957*1.17</f>
        <v>17.499999999689997</v>
      </c>
      <c r="AL35">
        <f>348+72</f>
        <v>420</v>
      </c>
      <c r="AM35" t="s">
        <v>206</v>
      </c>
    </row>
    <row r="36" spans="1:40">
      <c r="C36" s="14" t="s">
        <v>12</v>
      </c>
      <c r="D36">
        <v>100</v>
      </c>
      <c r="F36" s="1">
        <f>2.5641025641*1.17</f>
        <v>2.9999999999970002</v>
      </c>
      <c r="G36" s="5">
        <v>300</v>
      </c>
      <c r="N36">
        <v>100</v>
      </c>
      <c r="O36" s="45">
        <f>2.5641025641*1.17</f>
        <v>2.9999999999970002</v>
      </c>
      <c r="P36" s="5">
        <f>N36*O36</f>
        <v>299.99999999970004</v>
      </c>
      <c r="Q36">
        <v>250</v>
      </c>
      <c r="R36" s="1">
        <f>2.5641025641*1.17</f>
        <v>2.9999999999970002</v>
      </c>
      <c r="S36" s="5">
        <f>Q36*R36</f>
        <v>749.99999999925001</v>
      </c>
      <c r="Z36">
        <v>150</v>
      </c>
      <c r="AA36">
        <v>3</v>
      </c>
      <c r="AF36">
        <v>125</v>
      </c>
      <c r="AG36" s="1">
        <f>2.5641025641*1.17</f>
        <v>2.9999999999970002</v>
      </c>
      <c r="AI36">
        <v>250</v>
      </c>
      <c r="AJ36" s="1">
        <f>2.5641025641*1.17</f>
        <v>2.9999999999970002</v>
      </c>
      <c r="AL36">
        <v>250</v>
      </c>
      <c r="AM36" s="1">
        <f>2.5641025641*1.17</f>
        <v>2.9999999999970002</v>
      </c>
    </row>
    <row r="37" spans="1:40">
      <c r="C37" s="14" t="s">
        <v>13</v>
      </c>
    </row>
    <row r="38" spans="1:40">
      <c r="C38" s="14" t="s">
        <v>29</v>
      </c>
      <c r="D38">
        <f>1140+60</f>
        <v>1200</v>
      </c>
      <c r="F38" s="1" t="s">
        <v>185</v>
      </c>
      <c r="G38" s="5">
        <f>1140*18+60*17.5</f>
        <v>21570</v>
      </c>
      <c r="H38">
        <v>450</v>
      </c>
      <c r="I38" s="1">
        <f>15.384615385*1.17</f>
        <v>18.000000000449997</v>
      </c>
      <c r="J38" s="5">
        <f>H38*I38</f>
        <v>8100.000000202499</v>
      </c>
      <c r="K38">
        <f>750+150</f>
        <v>900</v>
      </c>
      <c r="L38" s="1" t="s">
        <v>190</v>
      </c>
      <c r="M38" s="5">
        <f>13500+2243.59+381.41</f>
        <v>16125</v>
      </c>
      <c r="N38">
        <f>1170+150</f>
        <v>1320</v>
      </c>
      <c r="O38" s="45" t="s">
        <v>194</v>
      </c>
      <c r="P38" s="5">
        <f>21060+2243.59+381.41</f>
        <v>23685</v>
      </c>
      <c r="Q38">
        <f>150+180</f>
        <v>330</v>
      </c>
      <c r="R38" s="1" t="s">
        <v>204</v>
      </c>
      <c r="S38" s="5">
        <f>150*17+180*17.5</f>
        <v>5700</v>
      </c>
      <c r="T38">
        <v>900</v>
      </c>
      <c r="U38" s="1">
        <f>14.957264957*1.17</f>
        <v>17.499999999689997</v>
      </c>
      <c r="W38">
        <v>1410</v>
      </c>
      <c r="X38">
        <v>17.5</v>
      </c>
      <c r="Z38">
        <v>180</v>
      </c>
      <c r="AA38">
        <v>17.5</v>
      </c>
      <c r="AC38" s="9">
        <v>960</v>
      </c>
      <c r="AD38" s="9">
        <v>17.5</v>
      </c>
      <c r="AF38" s="9">
        <v>1170</v>
      </c>
      <c r="AG38" s="1">
        <f>14.957264957*1.17</f>
        <v>17.499999999689997</v>
      </c>
      <c r="AI38">
        <f>390+120</f>
        <v>510</v>
      </c>
      <c r="AJ38" t="s">
        <v>224</v>
      </c>
      <c r="AL38">
        <f>210+1020</f>
        <v>1230</v>
      </c>
      <c r="AM38" t="s">
        <v>224</v>
      </c>
    </row>
    <row r="39" spans="1:40">
      <c r="C39" s="14" t="s">
        <v>14</v>
      </c>
      <c r="D39">
        <v>18</v>
      </c>
      <c r="F39" s="1">
        <v>17.5</v>
      </c>
      <c r="G39" s="5">
        <f>D39*F39</f>
        <v>315</v>
      </c>
      <c r="K39">
        <v>66</v>
      </c>
      <c r="L39" s="1">
        <f>14.957264957*1.17</f>
        <v>17.499999999689997</v>
      </c>
      <c r="M39" s="5">
        <f>K39*L39</f>
        <v>1154.9999999795398</v>
      </c>
      <c r="N39">
        <v>36</v>
      </c>
      <c r="O39" s="45">
        <f>17.5</f>
        <v>17.5</v>
      </c>
      <c r="P39" s="5">
        <f>N39*O39</f>
        <v>630</v>
      </c>
      <c r="Q39">
        <v>42</v>
      </c>
      <c r="R39" s="1">
        <f>14.52991453*1.17</f>
        <v>17.000000000099998</v>
      </c>
      <c r="S39" s="5">
        <f>Q39*R39</f>
        <v>714.00000000419993</v>
      </c>
      <c r="T39">
        <v>24</v>
      </c>
      <c r="U39" s="1">
        <v>17</v>
      </c>
      <c r="AF39">
        <v>24</v>
      </c>
      <c r="AG39">
        <f>14.52991453*1.17</f>
        <v>17.000000000099998</v>
      </c>
      <c r="AI39">
        <v>84</v>
      </c>
      <c r="AJ39">
        <f>14.52991453*1.17</f>
        <v>17.000000000099998</v>
      </c>
      <c r="AL39">
        <v>48</v>
      </c>
      <c r="AM39">
        <v>17</v>
      </c>
    </row>
    <row r="40" spans="1:40">
      <c r="C40" s="14" t="s">
        <v>154</v>
      </c>
      <c r="AC40">
        <v>5</v>
      </c>
      <c r="AD40">
        <f>38.461538462*1.17</f>
        <v>45.000000000539998</v>
      </c>
    </row>
    <row r="41" spans="1:40">
      <c r="C41" s="14" t="s">
        <v>18</v>
      </c>
      <c r="D41">
        <v>160</v>
      </c>
      <c r="F41" s="1">
        <f>4.2735042735*1.17</f>
        <v>4.9999999999950004</v>
      </c>
      <c r="G41" s="5">
        <f>D41*F41</f>
        <v>799.9999999992001</v>
      </c>
      <c r="T41">
        <v>160</v>
      </c>
      <c r="U41" s="1">
        <f>4.2735042735*1.17</f>
        <v>4.9999999999950004</v>
      </c>
      <c r="W41">
        <v>160</v>
      </c>
      <c r="X41">
        <v>5</v>
      </c>
      <c r="AC41">
        <v>160</v>
      </c>
      <c r="AD41">
        <f>4.2735042735*1.17</f>
        <v>4.9999999999950004</v>
      </c>
      <c r="AF41">
        <v>200</v>
      </c>
      <c r="AG41">
        <f>4.2735042735*1.17</f>
        <v>4.9999999999950004</v>
      </c>
      <c r="AL41">
        <v>240</v>
      </c>
      <c r="AM41">
        <f>4.2735042735*1.17</f>
        <v>4.9999999999950004</v>
      </c>
    </row>
    <row r="42" spans="1:40" s="6" customFormat="1">
      <c r="A42" s="8"/>
      <c r="B42" s="16"/>
      <c r="C42" s="16"/>
      <c r="D42" s="7"/>
      <c r="F42" s="22"/>
      <c r="G42" s="8"/>
      <c r="I42" s="22"/>
      <c r="J42" s="8"/>
      <c r="L42" s="22"/>
      <c r="M42" s="8"/>
      <c r="O42" s="51"/>
      <c r="P42" s="8"/>
      <c r="R42" s="22"/>
      <c r="S42" s="8"/>
      <c r="U42" s="22"/>
      <c r="V42" s="8"/>
      <c r="Y42" s="37"/>
      <c r="AB42" s="8"/>
      <c r="AE42" s="37"/>
      <c r="AH42" s="8"/>
      <c r="AK42" s="8"/>
      <c r="AN42" s="8"/>
    </row>
    <row r="43" spans="1:40">
      <c r="G43" s="5">
        <f>SUM(G32:G42)</f>
        <v>32804.000000005202</v>
      </c>
      <c r="J43" s="5">
        <f>SUM(J32:J42)</f>
        <v>28896.000000226501</v>
      </c>
      <c r="M43" s="5">
        <f>SUM(M34:M42)</f>
        <v>22139.99999997954</v>
      </c>
      <c r="P43" s="5">
        <f>SUM(P35:P42)</f>
        <v>31202.999999999702</v>
      </c>
      <c r="S43" s="5">
        <f>SUM(S32:S42)</f>
        <v>17934.000000084448</v>
      </c>
    </row>
    <row r="44" spans="1:40" s="11" customFormat="1">
      <c r="A44" s="12" t="s">
        <v>40</v>
      </c>
      <c r="B44" s="15" t="s">
        <v>41</v>
      </c>
      <c r="C44" s="15" t="s">
        <v>42</v>
      </c>
      <c r="F44" s="21"/>
      <c r="G44" s="12"/>
      <c r="I44" s="21"/>
      <c r="J44" s="12"/>
      <c r="L44" s="21"/>
      <c r="M44" s="12"/>
      <c r="O44" s="49"/>
      <c r="P44" s="12"/>
      <c r="R44" s="21"/>
      <c r="S44" s="12"/>
      <c r="U44" s="21"/>
      <c r="V44" s="12"/>
      <c r="Y44" s="36"/>
      <c r="AB44" s="12"/>
      <c r="AE44" s="36"/>
      <c r="AH44" s="12"/>
      <c r="AK44" s="12"/>
      <c r="AN44" s="12"/>
    </row>
    <row r="49" spans="1:40" s="11" customFormat="1">
      <c r="A49" s="12" t="s">
        <v>43</v>
      </c>
      <c r="B49" s="15" t="s">
        <v>44</v>
      </c>
      <c r="C49" s="15"/>
      <c r="D49" s="11">
        <v>105</v>
      </c>
      <c r="F49" s="21">
        <f>19.658119658*1.17</f>
        <v>22.999999999859998</v>
      </c>
      <c r="G49" s="12">
        <f>D49*F49</f>
        <v>2414.9999999852998</v>
      </c>
      <c r="H49" s="11">
        <v>210</v>
      </c>
      <c r="I49" s="21">
        <f>19.658119658*1.17</f>
        <v>22.999999999859998</v>
      </c>
      <c r="J49" s="12">
        <f>H49*I49</f>
        <v>4829.9999999705997</v>
      </c>
      <c r="K49" s="11">
        <f>104+209</f>
        <v>313</v>
      </c>
      <c r="L49" s="21" t="s">
        <v>187</v>
      </c>
      <c r="M49" s="12">
        <f>2044.44+347.56+3929.91+668.09</f>
        <v>6990</v>
      </c>
      <c r="N49" s="11">
        <v>210</v>
      </c>
      <c r="O49" s="49">
        <f>22</f>
        <v>22</v>
      </c>
      <c r="P49" s="12">
        <f>N49*O49</f>
        <v>4620</v>
      </c>
      <c r="Q49" s="11">
        <v>74</v>
      </c>
      <c r="R49" s="21">
        <f>18.803418803*1.17</f>
        <v>21.999999999509999</v>
      </c>
      <c r="S49" s="12">
        <f>Q49*R49</f>
        <v>1627.99999996374</v>
      </c>
      <c r="U49" s="21"/>
      <c r="V49" s="12"/>
      <c r="Y49" s="36"/>
      <c r="AB49" s="12"/>
      <c r="AE49" s="36"/>
      <c r="AH49" s="12"/>
      <c r="AK49" s="12"/>
      <c r="AN49" s="12"/>
    </row>
    <row r="50" spans="1:40">
      <c r="B50" s="14" t="s">
        <v>132</v>
      </c>
      <c r="D50">
        <v>108</v>
      </c>
      <c r="F50" s="1">
        <v>23</v>
      </c>
      <c r="G50" s="5">
        <f>D50*F50</f>
        <v>2484</v>
      </c>
      <c r="H50">
        <v>54</v>
      </c>
      <c r="I50" s="1">
        <f>19.658119658*1.17</f>
        <v>22.999999999859998</v>
      </c>
      <c r="J50" s="5">
        <f>H50*I50</f>
        <v>1241.9999999924398</v>
      </c>
      <c r="K50">
        <v>53</v>
      </c>
      <c r="L50" s="1">
        <f>19.658119658*1.17</f>
        <v>22.999999999859998</v>
      </c>
      <c r="M50" s="5">
        <f>K50*L50</f>
        <v>1218.9999999925799</v>
      </c>
      <c r="N50">
        <v>108</v>
      </c>
      <c r="O50" s="45">
        <f>18.803418803*1.17</f>
        <v>21.999999999509999</v>
      </c>
      <c r="P50" s="5">
        <f>N50*O50</f>
        <v>2375.9999999470797</v>
      </c>
      <c r="V50" s="12"/>
      <c r="Z50">
        <v>61</v>
      </c>
      <c r="AA50">
        <f>18.803418803*1.17</f>
        <v>21.999999999509999</v>
      </c>
      <c r="AF50">
        <v>53</v>
      </c>
      <c r="AG50">
        <f>18.803418803*1.17</f>
        <v>21.999999999509999</v>
      </c>
      <c r="AH50" s="12"/>
      <c r="AI50" s="9">
        <v>107</v>
      </c>
      <c r="AJ50">
        <f>18.803418803*1.17</f>
        <v>21.999999999509999</v>
      </c>
      <c r="AK50" s="12"/>
      <c r="AL50" s="9">
        <v>109</v>
      </c>
      <c r="AM50">
        <f>18.803418803*1.17</f>
        <v>21.999999999509999</v>
      </c>
    </row>
    <row r="51" spans="1:40">
      <c r="B51" s="14" t="s">
        <v>45</v>
      </c>
      <c r="H51">
        <v>300</v>
      </c>
      <c r="I51" s="1">
        <f>17.948717949*1.17</f>
        <v>21.000000000329997</v>
      </c>
      <c r="J51" s="5">
        <f>H51*I51</f>
        <v>6300.0000000989994</v>
      </c>
      <c r="Q51">
        <v>250</v>
      </c>
      <c r="R51" s="1">
        <f>17.094017094*1.17</f>
        <v>19.999999999980002</v>
      </c>
      <c r="S51" s="5">
        <f>Q51*R51</f>
        <v>4999.9999999950005</v>
      </c>
      <c r="T51">
        <v>200</v>
      </c>
      <c r="U51" s="1">
        <f>17.094017094*1.17</f>
        <v>19.999999999980002</v>
      </c>
      <c r="V51" s="12"/>
      <c r="Z51">
        <v>200</v>
      </c>
      <c r="AA51">
        <v>20</v>
      </c>
      <c r="AF51">
        <v>250</v>
      </c>
      <c r="AG51" s="1">
        <f>17.094017094*1.17</f>
        <v>19.999999999980002</v>
      </c>
      <c r="AH51" s="12"/>
      <c r="AI51">
        <v>200</v>
      </c>
      <c r="AJ51" s="1">
        <f>17.094017094*1.17</f>
        <v>19.999999999980002</v>
      </c>
      <c r="AK51" s="12"/>
      <c r="AL51">
        <v>200</v>
      </c>
      <c r="AM51" s="1">
        <f>17.094017094*1.17</f>
        <v>19.999999999980002</v>
      </c>
    </row>
    <row r="52" spans="1:40">
      <c r="B52" s="14" t="s">
        <v>46</v>
      </c>
      <c r="H52">
        <v>396</v>
      </c>
      <c r="I52" s="1">
        <f>14.52991453*1.17</f>
        <v>17.000000000099998</v>
      </c>
      <c r="J52" s="5">
        <f>H52*I52</f>
        <v>6732.0000000395994</v>
      </c>
      <c r="Q52">
        <v>198</v>
      </c>
      <c r="R52" s="1">
        <f>13.675213675*1.17</f>
        <v>15.999999999749999</v>
      </c>
      <c r="S52" s="5">
        <f t="shared" ref="S52:S58" si="1">Q52*R52</f>
        <v>3167.9999999504998</v>
      </c>
      <c r="T52">
        <v>196</v>
      </c>
      <c r="U52" s="1">
        <v>16</v>
      </c>
      <c r="V52" s="12"/>
      <c r="Z52">
        <v>220</v>
      </c>
      <c r="AA52">
        <v>16</v>
      </c>
      <c r="AF52">
        <v>160</v>
      </c>
      <c r="AG52" s="1">
        <f>13.675213675*1.17</f>
        <v>15.999999999749999</v>
      </c>
      <c r="AH52" s="12"/>
      <c r="AI52">
        <v>200</v>
      </c>
      <c r="AJ52" s="1">
        <f>13.675213675*1.17</f>
        <v>15.999999999749999</v>
      </c>
      <c r="AK52" s="12"/>
      <c r="AL52">
        <v>200</v>
      </c>
      <c r="AM52" s="1">
        <f>13.675213675*1.17</f>
        <v>15.999999999749999</v>
      </c>
    </row>
    <row r="53" spans="1:40">
      <c r="B53" s="14" t="s">
        <v>198</v>
      </c>
      <c r="Q53">
        <v>52</v>
      </c>
      <c r="R53" s="1">
        <f>17.094017094*1.17</f>
        <v>19.999999999980002</v>
      </c>
      <c r="S53" s="5">
        <f t="shared" si="1"/>
        <v>1039.99999999896</v>
      </c>
      <c r="AF53">
        <v>104</v>
      </c>
      <c r="AG53" s="1">
        <f>17.094017094*1.17</f>
        <v>19.999999999980002</v>
      </c>
      <c r="AH53" s="12"/>
      <c r="AI53">
        <v>78</v>
      </c>
      <c r="AJ53" s="1">
        <f>17.094017094*1.17</f>
        <v>19.999999999980002</v>
      </c>
    </row>
    <row r="54" spans="1:40">
      <c r="B54" s="14" t="s">
        <v>188</v>
      </c>
      <c r="K54">
        <v>52</v>
      </c>
      <c r="L54" s="1">
        <f>17.948717949*1.17</f>
        <v>21.000000000329997</v>
      </c>
      <c r="M54" s="5">
        <f>K54*L54</f>
        <v>1092.0000000171599</v>
      </c>
      <c r="S54" s="5">
        <f t="shared" si="1"/>
        <v>0</v>
      </c>
      <c r="AH54" s="12"/>
    </row>
    <row r="55" spans="1:40">
      <c r="B55" s="14" t="s">
        <v>215</v>
      </c>
      <c r="Z55">
        <v>208</v>
      </c>
      <c r="AA55">
        <v>20</v>
      </c>
      <c r="AH55" s="12"/>
    </row>
    <row r="56" spans="1:40">
      <c r="B56" s="17">
        <v>501</v>
      </c>
      <c r="H56">
        <v>82</v>
      </c>
      <c r="I56" s="1">
        <f>25.641025641*1.17</f>
        <v>29.999999999969997</v>
      </c>
      <c r="J56" s="5">
        <f>H56*I56</f>
        <v>2459.9999999975398</v>
      </c>
      <c r="Q56">
        <v>22</v>
      </c>
      <c r="R56" s="1">
        <f>25.641025641*1.17</f>
        <v>29.999999999969997</v>
      </c>
      <c r="S56" s="5">
        <f t="shared" si="1"/>
        <v>659.99999999933993</v>
      </c>
      <c r="T56">
        <v>30</v>
      </c>
      <c r="U56" s="1">
        <f>18.803418803*1.17</f>
        <v>21.999999999509999</v>
      </c>
      <c r="Z56">
        <v>44</v>
      </c>
      <c r="AA56">
        <f>25.641025641*1.17</f>
        <v>29.999999999969997</v>
      </c>
      <c r="AF56">
        <v>83</v>
      </c>
      <c r="AG56">
        <f>25.641025641*1.17</f>
        <v>29.999999999969997</v>
      </c>
      <c r="AH56" s="12"/>
      <c r="AI56">
        <v>22</v>
      </c>
      <c r="AJ56">
        <f>25.641025641*1.17</f>
        <v>29.999999999969997</v>
      </c>
      <c r="AL56">
        <v>11</v>
      </c>
      <c r="AM56">
        <f>25.641025641*1.17</f>
        <v>29.999999999969997</v>
      </c>
    </row>
    <row r="57" spans="1:40">
      <c r="B57" s="14" t="s">
        <v>47</v>
      </c>
      <c r="H57">
        <v>182</v>
      </c>
      <c r="I57" s="1">
        <f>17.948717949*1.17</f>
        <v>21.000000000329997</v>
      </c>
      <c r="J57" s="5">
        <f>H57*I57</f>
        <v>3822.0000000600594</v>
      </c>
      <c r="S57" s="5">
        <f t="shared" si="1"/>
        <v>0</v>
      </c>
      <c r="AH57" s="12"/>
    </row>
    <row r="58" spans="1:40">
      <c r="B58" s="14" t="s">
        <v>199</v>
      </c>
      <c r="Q58">
        <v>25</v>
      </c>
      <c r="R58" s="1">
        <f>14.52991453*1.17</f>
        <v>17.000000000099998</v>
      </c>
      <c r="S58" s="5">
        <f t="shared" si="1"/>
        <v>425.00000000249997</v>
      </c>
    </row>
    <row r="59" spans="1:40" s="6" customFormat="1">
      <c r="A59" s="8"/>
      <c r="B59" s="16"/>
      <c r="C59" s="16"/>
      <c r="F59" s="22"/>
      <c r="G59" s="8"/>
      <c r="I59" s="22"/>
      <c r="J59" s="8"/>
      <c r="L59" s="22"/>
      <c r="M59" s="8"/>
      <c r="O59" s="51"/>
      <c r="P59" s="8"/>
      <c r="R59" s="22"/>
      <c r="S59" s="8"/>
      <c r="U59" s="22"/>
      <c r="V59" s="8"/>
      <c r="Y59" s="37"/>
      <c r="AB59" s="8"/>
      <c r="AE59" s="37"/>
      <c r="AH59" s="8"/>
      <c r="AK59" s="8"/>
      <c r="AN59" s="8"/>
    </row>
    <row r="60" spans="1:40">
      <c r="G60" s="5">
        <f>SUM(G49:G59)</f>
        <v>4898.9999999852998</v>
      </c>
      <c r="J60" s="5">
        <f>SUM(J49:J59)</f>
        <v>25386.000000159238</v>
      </c>
      <c r="M60" s="5">
        <f>SUM(M49:M59)</f>
        <v>9301.0000000097407</v>
      </c>
      <c r="P60" s="5">
        <f>SUM(P49:P59)</f>
        <v>6995.9999999470801</v>
      </c>
      <c r="S60" s="5">
        <f>SUM(S49:S59)</f>
        <v>11920.999999910038</v>
      </c>
    </row>
    <row r="61" spans="1:40" s="11" customFormat="1">
      <c r="A61" s="12" t="s">
        <v>222</v>
      </c>
      <c r="B61" s="18" t="s">
        <v>48</v>
      </c>
      <c r="C61" s="15"/>
      <c r="F61" s="21"/>
      <c r="G61" s="12"/>
      <c r="I61" s="21"/>
      <c r="J61" s="12"/>
      <c r="L61" s="21"/>
      <c r="M61" s="12"/>
      <c r="O61" s="49"/>
      <c r="P61" s="12"/>
      <c r="R61" s="21"/>
      <c r="S61" s="12"/>
      <c r="U61" s="21"/>
      <c r="V61" s="12"/>
      <c r="Y61" s="36"/>
      <c r="AB61" s="12"/>
      <c r="AE61" s="36"/>
      <c r="AH61" s="12"/>
      <c r="AK61" s="12"/>
      <c r="AN61" s="12"/>
    </row>
    <row r="62" spans="1:40">
      <c r="B62" s="19" t="s">
        <v>49</v>
      </c>
    </row>
    <row r="63" spans="1:40">
      <c r="B63" s="19" t="s">
        <v>50</v>
      </c>
    </row>
    <row r="64" spans="1:40">
      <c r="B64" s="19" t="s">
        <v>51</v>
      </c>
    </row>
    <row r="65" spans="2:39">
      <c r="B65" s="19" t="s">
        <v>52</v>
      </c>
    </row>
    <row r="66" spans="2:39">
      <c r="B66" s="19" t="s">
        <v>53</v>
      </c>
      <c r="K66">
        <v>36000</v>
      </c>
      <c r="L66" s="1">
        <f>0.0444444444*1.17</f>
        <v>5.1999999947999996E-2</v>
      </c>
      <c r="M66" s="5">
        <f>K66*L66</f>
        <v>1871.9999981279998</v>
      </c>
      <c r="N66">
        <v>54000</v>
      </c>
      <c r="O66" s="45">
        <v>5.1999999999999998E-2</v>
      </c>
      <c r="P66" s="5">
        <f>N66*O66</f>
        <v>2808</v>
      </c>
      <c r="Z66">
        <v>45000</v>
      </c>
      <c r="AA66">
        <v>5.1999999999999998E-2</v>
      </c>
      <c r="AC66">
        <v>45000</v>
      </c>
      <c r="AD66">
        <f>0.0444444444*1.17</f>
        <v>5.1999999947999996E-2</v>
      </c>
      <c r="AF66">
        <v>63000</v>
      </c>
      <c r="AG66">
        <f>0.0444444444*1.17</f>
        <v>5.1999999947999996E-2</v>
      </c>
      <c r="AL66">
        <v>72000</v>
      </c>
      <c r="AM66">
        <f>0.0444444444*1.17</f>
        <v>5.1999999947999996E-2</v>
      </c>
    </row>
    <row r="67" spans="2:39">
      <c r="B67" s="19" t="s">
        <v>54</v>
      </c>
    </row>
    <row r="68" spans="2:39">
      <c r="B68" s="19" t="s">
        <v>195</v>
      </c>
      <c r="N68">
        <v>16000</v>
      </c>
      <c r="O68" s="45">
        <f>0.0769230769*1.17</f>
        <v>8.9999999972999997E-2</v>
      </c>
      <c r="P68" s="5">
        <f>N68*O68</f>
        <v>1439.999999568</v>
      </c>
      <c r="Q68">
        <v>132000</v>
      </c>
      <c r="R68" s="1">
        <f>0.0769230769*1.17</f>
        <v>8.9999999972999997E-2</v>
      </c>
      <c r="S68" s="5">
        <f>Q68*R68</f>
        <v>11879.999996435999</v>
      </c>
      <c r="W68">
        <v>48000</v>
      </c>
      <c r="X68">
        <f>0.0769230769*1.17</f>
        <v>8.9999999972999997E-2</v>
      </c>
      <c r="Z68">
        <v>28000</v>
      </c>
      <c r="AA68">
        <v>0.09</v>
      </c>
    </row>
    <row r="69" spans="2:39">
      <c r="B69" s="19" t="s">
        <v>55</v>
      </c>
      <c r="H69">
        <v>24000</v>
      </c>
      <c r="I69" s="1">
        <f>0.0769230769*1.17</f>
        <v>8.9999999972999997E-2</v>
      </c>
      <c r="J69" s="5">
        <f>H69*I69</f>
        <v>2159.999999352</v>
      </c>
    </row>
    <row r="70" spans="2:39">
      <c r="B70" s="19" t="s">
        <v>209</v>
      </c>
      <c r="Q70">
        <v>42000</v>
      </c>
      <c r="R70" s="1">
        <f>0.0169230769*1.17</f>
        <v>1.9799999972999999E-2</v>
      </c>
      <c r="S70" s="46">
        <f>Q70*R70</f>
        <v>831.59999886599996</v>
      </c>
      <c r="W70">
        <v>42000</v>
      </c>
      <c r="X70">
        <f>0.0169230769*1.17</f>
        <v>1.9799999972999999E-2</v>
      </c>
      <c r="AL70">
        <v>84000</v>
      </c>
      <c r="AM70">
        <f>0.0169230769*1.17</f>
        <v>1.9799999972999999E-2</v>
      </c>
    </row>
    <row r="71" spans="2:39">
      <c r="B71" s="19" t="s">
        <v>57</v>
      </c>
    </row>
    <row r="72" spans="2:39">
      <c r="B72" s="19" t="s">
        <v>58</v>
      </c>
    </row>
    <row r="73" spans="2:39">
      <c r="B73" s="19" t="s">
        <v>59</v>
      </c>
      <c r="W73">
        <v>120000</v>
      </c>
      <c r="X73">
        <f>0.0269230769*1.17</f>
        <v>3.1499999972999994E-2</v>
      </c>
      <c r="Z73">
        <v>72000</v>
      </c>
      <c r="AA73">
        <v>3.15E-2</v>
      </c>
      <c r="AF73">
        <v>72000</v>
      </c>
      <c r="AG73">
        <f>0.0269230769*1.17</f>
        <v>3.1499999972999994E-2</v>
      </c>
    </row>
    <row r="74" spans="2:39">
      <c r="B74" s="19" t="s">
        <v>201</v>
      </c>
      <c r="Q74">
        <v>10000</v>
      </c>
      <c r="R74" s="1">
        <f>0.0158119658*1.17</f>
        <v>1.8499999986E-2</v>
      </c>
      <c r="S74" s="46">
        <f>Q74*R74</f>
        <v>184.99999986</v>
      </c>
      <c r="T74">
        <v>20000</v>
      </c>
      <c r="U74" s="1">
        <f>0.0158119658*1.17</f>
        <v>1.8499999986E-2</v>
      </c>
      <c r="AF74">
        <v>50000</v>
      </c>
      <c r="AG74" s="1">
        <f>0.0158119658*1.17</f>
        <v>1.8499999986E-2</v>
      </c>
      <c r="AI74">
        <v>110000</v>
      </c>
      <c r="AJ74" s="1">
        <f>0.0158119658*1.17</f>
        <v>1.8499999986E-2</v>
      </c>
    </row>
    <row r="75" spans="2:39">
      <c r="B75" s="19" t="s">
        <v>60</v>
      </c>
      <c r="AI75">
        <v>48000</v>
      </c>
      <c r="AJ75">
        <f>0.0269230769*1.17</f>
        <v>3.1499999972999994E-2</v>
      </c>
    </row>
    <row r="76" spans="2:39">
      <c r="B76" s="19" t="s">
        <v>61</v>
      </c>
    </row>
    <row r="77" spans="2:39">
      <c r="B77" s="19" t="s">
        <v>62</v>
      </c>
      <c r="AL77">
        <v>54000</v>
      </c>
      <c r="AM77">
        <f>0.0299145299*1.17</f>
        <v>3.4999999982999998E-2</v>
      </c>
    </row>
    <row r="78" spans="2:39">
      <c r="B78" s="19" t="s">
        <v>63</v>
      </c>
    </row>
    <row r="79" spans="2:39">
      <c r="B79" s="19" t="s">
        <v>64</v>
      </c>
    </row>
    <row r="80" spans="2:39">
      <c r="B80" s="19" t="s">
        <v>200</v>
      </c>
      <c r="Q80">
        <v>36000</v>
      </c>
      <c r="R80" s="1">
        <f>0.0495726496*1.17</f>
        <v>5.8000000031999996E-2</v>
      </c>
      <c r="S80" s="46">
        <f>Q80*R80</f>
        <v>2088.0000011519996</v>
      </c>
      <c r="T80">
        <v>18000</v>
      </c>
      <c r="U80" s="1">
        <f>0.0495726496*1.17</f>
        <v>5.8000000031999996E-2</v>
      </c>
      <c r="AF80">
        <v>18000</v>
      </c>
      <c r="AG80" s="1">
        <f>0.0495726496*1.17</f>
        <v>5.8000000031999996E-2</v>
      </c>
      <c r="AI80">
        <v>54000</v>
      </c>
      <c r="AJ80" s="1">
        <f>0.0495726496*1.17</f>
        <v>5.8000000031999996E-2</v>
      </c>
    </row>
    <row r="81" spans="1:40">
      <c r="B81" s="19" t="s">
        <v>161</v>
      </c>
      <c r="N81">
        <v>108000</v>
      </c>
      <c r="O81" s="45">
        <v>3.5000000000000003E-2</v>
      </c>
      <c r="P81" s="5">
        <f>N81*O81</f>
        <v>3780.0000000000005</v>
      </c>
      <c r="Q81">
        <v>198000</v>
      </c>
      <c r="R81" s="45">
        <f>0.0299145299*1.17</f>
        <v>3.4999999982999998E-2</v>
      </c>
      <c r="S81" s="46">
        <f>Q81*R81</f>
        <v>6929.9999966339992</v>
      </c>
      <c r="AF81">
        <v>108000</v>
      </c>
      <c r="AG81" s="45">
        <f>0.0299145299*1.17</f>
        <v>3.4999999982999998E-2</v>
      </c>
    </row>
    <row r="82" spans="1:40">
      <c r="B82" s="19" t="s">
        <v>167</v>
      </c>
    </row>
    <row r="83" spans="1:40">
      <c r="B83" s="19" t="s">
        <v>65</v>
      </c>
      <c r="H83">
        <v>54000</v>
      </c>
      <c r="I83" s="1">
        <f>0.0418803419*1.17</f>
        <v>4.9000000023E-2</v>
      </c>
      <c r="J83" s="5">
        <f>H83*I83</f>
        <v>2646.0000012420001</v>
      </c>
      <c r="K83">
        <v>54000</v>
      </c>
      <c r="L83" s="1">
        <f>0.0418803419*1.17</f>
        <v>4.9000000023E-2</v>
      </c>
      <c r="M83" s="5">
        <f>K83*L83</f>
        <v>2646.0000012420001</v>
      </c>
      <c r="N83">
        <v>99000</v>
      </c>
      <c r="O83" s="45">
        <v>4.9000000000000002E-2</v>
      </c>
      <c r="P83" s="5">
        <f>N83*O83</f>
        <v>4851</v>
      </c>
      <c r="Q83">
        <v>110000</v>
      </c>
      <c r="R83" s="1">
        <f>0.0418803419*1.17</f>
        <v>4.9000000023E-2</v>
      </c>
      <c r="S83" s="46">
        <f>Q83*R83</f>
        <v>5390.0000025299996</v>
      </c>
      <c r="T83">
        <v>220000</v>
      </c>
      <c r="U83" s="1">
        <f>0.0418803419*1.17</f>
        <v>4.9000000023E-2</v>
      </c>
      <c r="Z83">
        <v>60000</v>
      </c>
      <c r="AA83">
        <v>4.9000000000000002E-2</v>
      </c>
      <c r="AC83">
        <v>49000</v>
      </c>
      <c r="AD83">
        <f>0.0418803419*1.17</f>
        <v>4.9000000023E-2</v>
      </c>
      <c r="AF83">
        <v>190000</v>
      </c>
      <c r="AG83">
        <f>0.0418803419*1.17</f>
        <v>4.9000000023E-2</v>
      </c>
      <c r="AL83">
        <v>60000</v>
      </c>
      <c r="AM83">
        <f>0.0418803419*1.17</f>
        <v>4.9000000023E-2</v>
      </c>
    </row>
    <row r="84" spans="1:40">
      <c r="B84" s="19" t="s">
        <v>66</v>
      </c>
      <c r="D84">
        <v>37500</v>
      </c>
      <c r="F84" s="1">
        <f>0.0478632479*1.17</f>
        <v>5.6000000043000001E-2</v>
      </c>
      <c r="G84" s="5">
        <f>D84*F84</f>
        <v>2100.0000016125</v>
      </c>
      <c r="N84">
        <v>75000</v>
      </c>
      <c r="O84" s="45">
        <v>5.6000000000000001E-2</v>
      </c>
      <c r="P84" s="5">
        <f>N84*O84</f>
        <v>4200</v>
      </c>
      <c r="W84">
        <v>75000</v>
      </c>
      <c r="X84">
        <f>0.0478632479*1.17</f>
        <v>5.6000000043000001E-2</v>
      </c>
      <c r="Y84" s="35">
        <f>W84*X84</f>
        <v>4200.000003225</v>
      </c>
      <c r="AL84">
        <v>45000</v>
      </c>
      <c r="AM84">
        <f>0.0478632479*1.17</f>
        <v>5.6000000043000001E-2</v>
      </c>
    </row>
    <row r="85" spans="1:40">
      <c r="B85" s="19" t="s">
        <v>67</v>
      </c>
      <c r="Y85" s="35">
        <f t="shared" ref="Y85:Y86" si="2">W85*X85</f>
        <v>0</v>
      </c>
    </row>
    <row r="86" spans="1:40">
      <c r="B86" s="19" t="s">
        <v>208</v>
      </c>
      <c r="H86">
        <v>30000</v>
      </c>
      <c r="I86" s="1">
        <f>0.0196581197*1.17</f>
        <v>2.3000000048999998E-2</v>
      </c>
      <c r="J86" s="5">
        <f>H86*I86</f>
        <v>690.00000146999992</v>
      </c>
      <c r="W86">
        <v>20000</v>
      </c>
      <c r="X86">
        <f>0.0169230769*1.17</f>
        <v>1.9799999972999999E-2</v>
      </c>
      <c r="Y86" s="35">
        <f t="shared" si="2"/>
        <v>395.99999945999997</v>
      </c>
    </row>
    <row r="87" spans="1:40">
      <c r="B87" s="19" t="s">
        <v>69</v>
      </c>
    </row>
    <row r="88" spans="1:40">
      <c r="B88" s="19" t="s">
        <v>70</v>
      </c>
    </row>
    <row r="89" spans="1:40">
      <c r="J89" s="5">
        <f>SUM(J69:J88)</f>
        <v>5496.000002064</v>
      </c>
      <c r="P89" s="5">
        <f>SUM(P66:P88)</f>
        <v>17078.999999568001</v>
      </c>
      <c r="S89" s="5">
        <f>SUM(S61:S88)</f>
        <v>27304.599995477998</v>
      </c>
    </row>
    <row r="90" spans="1:40" s="11" customFormat="1">
      <c r="A90" s="12"/>
      <c r="B90" s="18" t="s">
        <v>97</v>
      </c>
      <c r="C90" s="15"/>
      <c r="F90" s="21"/>
      <c r="G90" s="12"/>
      <c r="I90" s="21"/>
      <c r="J90" s="12"/>
      <c r="L90" s="21"/>
      <c r="M90" s="12"/>
      <c r="O90" s="49"/>
      <c r="P90" s="12"/>
      <c r="R90" s="21"/>
      <c r="S90" s="12"/>
      <c r="U90" s="21"/>
      <c r="V90" s="12"/>
      <c r="Y90" s="36"/>
      <c r="AB90" s="12"/>
      <c r="AE90" s="36"/>
      <c r="AH90" s="12"/>
      <c r="AK90" s="12"/>
      <c r="AN90" s="12"/>
    </row>
    <row r="91" spans="1:40">
      <c r="B91" s="19" t="s">
        <v>89</v>
      </c>
      <c r="M91" s="12"/>
      <c r="Z91">
        <v>0.1</v>
      </c>
      <c r="AA91">
        <f>0.051196581197*1.17</f>
        <v>5.9900000000489992E-2</v>
      </c>
    </row>
    <row r="92" spans="1:40">
      <c r="B92" s="19" t="s">
        <v>96</v>
      </c>
      <c r="K92">
        <v>4.5</v>
      </c>
      <c r="L92" s="1">
        <f>316.23931624*1.17</f>
        <v>370.00000000079996</v>
      </c>
      <c r="M92" s="12">
        <f>K92*L92</f>
        <v>1665.0000000035998</v>
      </c>
      <c r="Z92">
        <v>6</v>
      </c>
      <c r="AA92">
        <f>0.031025641026*1.17</f>
        <v>3.6300000000419996E-2</v>
      </c>
      <c r="AC92">
        <v>4.5</v>
      </c>
      <c r="AD92">
        <f>0.031025641026*1.17</f>
        <v>3.6300000000419996E-2</v>
      </c>
      <c r="AF92">
        <v>4</v>
      </c>
      <c r="AG92">
        <f>0.031025641026*1.17</f>
        <v>3.6300000000419996E-2</v>
      </c>
    </row>
    <row r="93" spans="1:40">
      <c r="B93" s="19" t="s">
        <v>83</v>
      </c>
      <c r="M93" s="12"/>
    </row>
    <row r="94" spans="1:40">
      <c r="B94" s="19" t="s">
        <v>95</v>
      </c>
      <c r="M94" s="12"/>
    </row>
    <row r="95" spans="1:40">
      <c r="B95" s="19" t="s">
        <v>94</v>
      </c>
      <c r="M95" s="12"/>
    </row>
    <row r="96" spans="1:40">
      <c r="B96" s="19" t="s">
        <v>84</v>
      </c>
      <c r="M96" s="12"/>
      <c r="Z96">
        <v>6</v>
      </c>
      <c r="AA96">
        <f>0.082735042735*1.17</f>
        <v>9.6799999999949995E-2</v>
      </c>
      <c r="AC96">
        <v>1.2</v>
      </c>
      <c r="AD96">
        <f>0.082735042735*1.17</f>
        <v>9.6799999999949995E-2</v>
      </c>
      <c r="AF96">
        <v>3.6</v>
      </c>
      <c r="AG96">
        <f>0.082735042735*1.17</f>
        <v>9.6799999999949995E-2</v>
      </c>
      <c r="AI96">
        <v>9.6</v>
      </c>
      <c r="AJ96">
        <f>0.082735042735*1.17</f>
        <v>9.6799999999949995E-2</v>
      </c>
    </row>
    <row r="97" spans="1:39">
      <c r="B97" s="19" t="s">
        <v>93</v>
      </c>
      <c r="M97" s="12"/>
    </row>
    <row r="98" spans="1:39">
      <c r="B98" s="19" t="s">
        <v>82</v>
      </c>
      <c r="M98" s="12"/>
      <c r="N98">
        <v>3</v>
      </c>
      <c r="O98" s="45">
        <f>222.2222222222*1.17</f>
        <v>259.99999999997397</v>
      </c>
      <c r="P98" s="5">
        <f>N98*O98</f>
        <v>779.9999999999219</v>
      </c>
      <c r="AF98">
        <v>3</v>
      </c>
      <c r="AG98">
        <f>0.021794871795*1.17</f>
        <v>2.550000000015E-2</v>
      </c>
      <c r="AI98">
        <v>5.6</v>
      </c>
      <c r="AJ98">
        <f>0.021794871795*1.17</f>
        <v>2.550000000015E-2</v>
      </c>
    </row>
    <row r="99" spans="1:39">
      <c r="B99" s="19" t="s">
        <v>80</v>
      </c>
      <c r="K99">
        <f>67.5+92.5</f>
        <v>160</v>
      </c>
      <c r="L99" s="1">
        <f>154.7008547*1.17</f>
        <v>180.99999999900001</v>
      </c>
      <c r="M99" s="12">
        <f>K99*L99</f>
        <v>28959.999999840002</v>
      </c>
      <c r="N99">
        <v>80</v>
      </c>
      <c r="O99" s="45">
        <f>152.13675214*1.17</f>
        <v>178.00000000379998</v>
      </c>
      <c r="P99" s="5">
        <f>N99*O99</f>
        <v>14240.000000303999</v>
      </c>
      <c r="Q99">
        <v>70</v>
      </c>
      <c r="R99" s="1">
        <f>152.13675214*1.17</f>
        <v>178.00000000379998</v>
      </c>
      <c r="S99" s="5">
        <f>Q99*R99</f>
        <v>12460.000000265998</v>
      </c>
      <c r="T99">
        <v>10</v>
      </c>
      <c r="U99" s="1">
        <f>152.13675214*1.17/10000</f>
        <v>1.7800000000379998E-2</v>
      </c>
      <c r="W99">
        <v>45</v>
      </c>
      <c r="X99">
        <f>0.015213675214*1.17</f>
        <v>1.7800000000379998E-2</v>
      </c>
      <c r="Z99">
        <v>167.5</v>
      </c>
      <c r="AA99">
        <f>0.015213675214*1.17</f>
        <v>1.7800000000379998E-2</v>
      </c>
      <c r="AF99">
        <v>80</v>
      </c>
      <c r="AG99">
        <f>0.015213675214*1.17</f>
        <v>1.7800000000379998E-2</v>
      </c>
      <c r="AI99">
        <v>137.5</v>
      </c>
      <c r="AJ99">
        <f>0.015213675214*1.17</f>
        <v>1.7800000000379998E-2</v>
      </c>
    </row>
    <row r="100" spans="1:39">
      <c r="A100" s="5" t="s">
        <v>105</v>
      </c>
      <c r="B100" s="19" t="s">
        <v>92</v>
      </c>
    </row>
    <row r="101" spans="1:39">
      <c r="B101" s="19" t="s">
        <v>81</v>
      </c>
      <c r="K101">
        <v>50</v>
      </c>
      <c r="L101" s="1">
        <f>141.88034188*1.17</f>
        <v>165.99999999959999</v>
      </c>
      <c r="M101" s="5">
        <f>K101*L101</f>
        <v>8299.9999999800002</v>
      </c>
      <c r="Q101">
        <v>45</v>
      </c>
      <c r="R101" s="1">
        <f>141.88034188*1.17</f>
        <v>165.99999999959999</v>
      </c>
      <c r="S101" s="5">
        <f>Q101*R101</f>
        <v>7469.9999999819993</v>
      </c>
      <c r="W101">
        <v>32</v>
      </c>
      <c r="X101">
        <f>0.014188034188*1.17</f>
        <v>1.6599999999959997E-2</v>
      </c>
      <c r="Z101">
        <v>20</v>
      </c>
      <c r="AA101">
        <f>0.013931623932*1.17</f>
        <v>1.6300000000440001E-2</v>
      </c>
      <c r="AF101">
        <v>80</v>
      </c>
      <c r="AG101">
        <f>0.013931623932*1.17</f>
        <v>1.6300000000440001E-2</v>
      </c>
      <c r="AL101">
        <v>40</v>
      </c>
      <c r="AM101">
        <f>0.013931623932*1.17</f>
        <v>1.6300000000440001E-2</v>
      </c>
    </row>
    <row r="102" spans="1:39">
      <c r="B102" s="19" t="s">
        <v>91</v>
      </c>
    </row>
    <row r="103" spans="1:39">
      <c r="B103" s="19" t="s">
        <v>90</v>
      </c>
    </row>
    <row r="104" spans="1:39">
      <c r="B104" s="19" t="s">
        <v>79</v>
      </c>
    </row>
    <row r="105" spans="1:39">
      <c r="B105" s="19" t="s">
        <v>87</v>
      </c>
    </row>
    <row r="106" spans="1:39">
      <c r="B106" s="19" t="s">
        <v>86</v>
      </c>
      <c r="D106">
        <v>75</v>
      </c>
      <c r="F106" s="1">
        <f>503.41880342*1.17</f>
        <v>589.00000000139994</v>
      </c>
      <c r="G106" s="5">
        <f>D106*F106</f>
        <v>44175.000000104992</v>
      </c>
      <c r="N106">
        <v>45</v>
      </c>
      <c r="O106" s="45">
        <f>494.87179487*1.17</f>
        <v>578.99999999789998</v>
      </c>
      <c r="P106" s="5">
        <f>N106*O106</f>
        <v>26054.9999999055</v>
      </c>
      <c r="AC106">
        <v>30</v>
      </c>
      <c r="AD106">
        <f>0.049487179487*1.17</f>
        <v>5.7899999999790001E-2</v>
      </c>
    </row>
    <row r="107" spans="1:39">
      <c r="B107" s="19" t="s">
        <v>98</v>
      </c>
      <c r="K107">
        <v>0.26</v>
      </c>
      <c r="L107" s="1">
        <f>4608.5470085*1.17</f>
        <v>5391.9999999449992</v>
      </c>
      <c r="M107" s="5">
        <f>K107*L107</f>
        <v>1401.9199999856999</v>
      </c>
      <c r="AI107">
        <v>0.5</v>
      </c>
      <c r="AJ107" s="1">
        <f>0.46085470085*1.17</f>
        <v>0.53919999999449997</v>
      </c>
    </row>
    <row r="108" spans="1:39">
      <c r="B108" s="19" t="s">
        <v>85</v>
      </c>
    </row>
    <row r="109" spans="1:39">
      <c r="B109" s="19" t="s">
        <v>78</v>
      </c>
    </row>
    <row r="110" spans="1:39">
      <c r="B110" s="19" t="s">
        <v>99</v>
      </c>
    </row>
    <row r="111" spans="1:39">
      <c r="B111" s="19" t="s">
        <v>77</v>
      </c>
    </row>
    <row r="112" spans="1:39">
      <c r="B112" s="19" t="s">
        <v>100</v>
      </c>
    </row>
    <row r="113" spans="1:40">
      <c r="B113" s="19" t="s">
        <v>76</v>
      </c>
      <c r="Z113">
        <v>0.6</v>
      </c>
      <c r="AA113">
        <f>0.097008547009*1.17</f>
        <v>0.11350000000052998</v>
      </c>
    </row>
    <row r="114" spans="1:40">
      <c r="B114" s="19" t="s">
        <v>76</v>
      </c>
      <c r="AI114">
        <v>1.2</v>
      </c>
      <c r="AJ114">
        <f>0.097008547009*1.17</f>
        <v>0.11350000000052998</v>
      </c>
    </row>
    <row r="115" spans="1:40">
      <c r="B115" s="19" t="s">
        <v>101</v>
      </c>
    </row>
    <row r="116" spans="1:40">
      <c r="B116" s="19" t="s">
        <v>88</v>
      </c>
      <c r="W116">
        <v>0.5</v>
      </c>
      <c r="X116">
        <f>0.088461538462*1.17</f>
        <v>0.10350000000053999</v>
      </c>
      <c r="Z116">
        <v>0.5</v>
      </c>
      <c r="AA116">
        <f>0.088461538462*1.17</f>
        <v>0.10350000000053999</v>
      </c>
    </row>
    <row r="117" spans="1:40">
      <c r="B117" s="19" t="s">
        <v>103</v>
      </c>
    </row>
    <row r="118" spans="1:40">
      <c r="B118" s="19" t="s">
        <v>104</v>
      </c>
    </row>
    <row r="119" spans="1:40">
      <c r="B119" s="19" t="s">
        <v>75</v>
      </c>
    </row>
    <row r="120" spans="1:40">
      <c r="B120" s="19" t="s">
        <v>102</v>
      </c>
    </row>
    <row r="121" spans="1:40">
      <c r="B121" s="19" t="s">
        <v>72</v>
      </c>
      <c r="K121">
        <f>8.4+25.2</f>
        <v>33.6</v>
      </c>
      <c r="L121" s="1">
        <f>503.41880342*1.17</f>
        <v>589.00000000139994</v>
      </c>
      <c r="M121" s="5">
        <f>K121*L121</f>
        <v>19790.400000047041</v>
      </c>
      <c r="T121" t="s">
        <v>205</v>
      </c>
      <c r="U121" s="1">
        <f>494.87179487*1.17/10000</f>
        <v>5.7899999999789994E-2</v>
      </c>
      <c r="W121">
        <v>61.8</v>
      </c>
      <c r="X121">
        <f>0.049487179487*1.17</f>
        <v>5.7899999999790001E-2</v>
      </c>
      <c r="AF121">
        <v>51</v>
      </c>
      <c r="AG121">
        <f>0.049487179487*1.17</f>
        <v>5.7899999999790001E-2</v>
      </c>
      <c r="AI121">
        <v>49.2</v>
      </c>
      <c r="AJ121">
        <f>0.049487179487*1.17</f>
        <v>5.7899999999790001E-2</v>
      </c>
      <c r="AL121">
        <v>11.4</v>
      </c>
      <c r="AM121">
        <f>0.049487179487*1.17</f>
        <v>5.7899999999790001E-2</v>
      </c>
    </row>
    <row r="122" spans="1:40">
      <c r="B122" s="19" t="s">
        <v>73</v>
      </c>
      <c r="D122">
        <v>6</v>
      </c>
      <c r="F122" s="1">
        <f>337.60683761*1.17</f>
        <v>395.00000000369999</v>
      </c>
      <c r="G122" s="5">
        <f>D122*F122</f>
        <v>2370.0000000221999</v>
      </c>
      <c r="K122">
        <f>7.2+3.6</f>
        <v>10.8</v>
      </c>
      <c r="L122" s="1">
        <f>337.60683761*1.17</f>
        <v>395.00000000369999</v>
      </c>
      <c r="M122" s="5">
        <f>K122*L122</f>
        <v>4266.0000000399605</v>
      </c>
      <c r="W122">
        <v>9.6</v>
      </c>
      <c r="X122">
        <f>0.033760683761*1.17</f>
        <v>3.9500000000369996E-2</v>
      </c>
      <c r="Z122">
        <v>8.4</v>
      </c>
      <c r="AA122">
        <f>0.033076923077*1.17</f>
        <v>3.8700000000089996E-2</v>
      </c>
      <c r="AF122">
        <v>6</v>
      </c>
      <c r="AG122">
        <f>0.033076923077*1.17</f>
        <v>3.8700000000089996E-2</v>
      </c>
      <c r="AI122">
        <v>8.4</v>
      </c>
      <c r="AJ122">
        <f>0.033076923077*1.17</f>
        <v>3.8700000000089996E-2</v>
      </c>
      <c r="AL122">
        <v>6</v>
      </c>
      <c r="AM122">
        <f>0.033076923077*1.17</f>
        <v>3.8700000000089996E-2</v>
      </c>
    </row>
    <row r="123" spans="1:40">
      <c r="B123" s="19" t="s">
        <v>74</v>
      </c>
    </row>
    <row r="124" spans="1:40">
      <c r="B124" s="19" t="s">
        <v>225</v>
      </c>
      <c r="N124" s="5"/>
      <c r="O124" s="52"/>
      <c r="Q124" s="5"/>
      <c r="R124" s="27"/>
      <c r="AL124">
        <v>12</v>
      </c>
      <c r="AM124">
        <f>0.031025641026*1.17</f>
        <v>3.6300000000419996E-2</v>
      </c>
    </row>
    <row r="125" spans="1:40">
      <c r="G125" s="5">
        <f>SUM(G91:G124)</f>
        <v>46545.000000127191</v>
      </c>
      <c r="M125" s="5">
        <f>SUM(M90:M124)</f>
        <v>64383.319999896303</v>
      </c>
      <c r="P125" s="5">
        <f>SUM(P97:P124)</f>
        <v>41075.000000209417</v>
      </c>
      <c r="S125" s="5">
        <f>SUM(S98:S124)</f>
        <v>19930.000000247997</v>
      </c>
    </row>
    <row r="126" spans="1:40" s="11" customFormat="1">
      <c r="A126" s="12" t="s">
        <v>106</v>
      </c>
      <c r="B126" s="18" t="s">
        <v>107</v>
      </c>
      <c r="C126" s="15"/>
      <c r="F126" s="21"/>
      <c r="G126" s="12"/>
      <c r="I126" s="21"/>
      <c r="J126" s="12"/>
      <c r="L126" s="21"/>
      <c r="M126" s="12"/>
      <c r="O126" s="49"/>
      <c r="P126" s="12"/>
      <c r="R126" s="21"/>
      <c r="S126" s="12"/>
      <c r="U126" s="21"/>
      <c r="V126" s="12"/>
      <c r="Y126" s="36"/>
      <c r="AB126" s="12"/>
      <c r="AE126" s="36"/>
      <c r="AH126" s="12"/>
      <c r="AK126" s="12"/>
      <c r="AN126" s="12"/>
    </row>
    <row r="127" spans="1:40">
      <c r="B127" s="19" t="s">
        <v>108</v>
      </c>
      <c r="AE127" s="36"/>
    </row>
    <row r="128" spans="1:40">
      <c r="B128" s="19" t="s">
        <v>109</v>
      </c>
      <c r="AE128" s="36"/>
    </row>
    <row r="129" spans="1:40">
      <c r="B129" s="19" t="s">
        <v>110</v>
      </c>
      <c r="AE129" s="36"/>
    </row>
    <row r="130" spans="1:40">
      <c r="B130" s="19" t="s">
        <v>111</v>
      </c>
    </row>
    <row r="131" spans="1:40">
      <c r="B131" s="19" t="s">
        <v>191</v>
      </c>
      <c r="N131">
        <v>18.899999999999999</v>
      </c>
      <c r="O131" s="45">
        <v>38</v>
      </c>
      <c r="P131" s="5">
        <f>N131*O131</f>
        <v>718.19999999999993</v>
      </c>
      <c r="AC131">
        <v>11.55</v>
      </c>
      <c r="AD131">
        <f>30.769230769*1.17</f>
        <v>35.999999999730001</v>
      </c>
    </row>
    <row r="132" spans="1:40">
      <c r="B132" s="19" t="s">
        <v>168</v>
      </c>
      <c r="N132">
        <v>164.5</v>
      </c>
      <c r="O132" s="45">
        <f>32.478632479*1.17</f>
        <v>38.000000000429992</v>
      </c>
      <c r="P132" s="5">
        <f t="shared" ref="P132:P136" si="3">N132*O132</f>
        <v>6251.0000000707341</v>
      </c>
      <c r="AC132">
        <v>109.25</v>
      </c>
      <c r="AD132">
        <v>36</v>
      </c>
      <c r="AI132">
        <v>59.9</v>
      </c>
      <c r="AJ132">
        <f>30.769230769*1.17</f>
        <v>35.999999999730001</v>
      </c>
    </row>
    <row r="133" spans="1:40">
      <c r="B133" s="19" t="s">
        <v>169</v>
      </c>
      <c r="N133">
        <v>155.15</v>
      </c>
      <c r="O133" s="45">
        <v>38</v>
      </c>
      <c r="P133" s="5">
        <f t="shared" si="3"/>
        <v>5895.7</v>
      </c>
      <c r="AC133">
        <v>138.35</v>
      </c>
      <c r="AD133">
        <v>36</v>
      </c>
      <c r="AI133">
        <f>65.4+36.45</f>
        <v>101.85000000000001</v>
      </c>
      <c r="AJ133">
        <f>30.769230769*1.17</f>
        <v>35.999999999730001</v>
      </c>
    </row>
    <row r="134" spans="1:40">
      <c r="B134" s="19" t="s">
        <v>192</v>
      </c>
      <c r="N134">
        <v>18.399999999999999</v>
      </c>
      <c r="O134" s="45">
        <v>38</v>
      </c>
      <c r="P134" s="5">
        <f t="shared" si="3"/>
        <v>699.19999999999993</v>
      </c>
      <c r="AC134">
        <v>17.399999999999999</v>
      </c>
      <c r="AD134">
        <v>36</v>
      </c>
      <c r="AI134">
        <v>17.149999999999999</v>
      </c>
      <c r="AJ134">
        <f>30.769230769*1.17</f>
        <v>35.999999999730001</v>
      </c>
    </row>
    <row r="135" spans="1:40">
      <c r="B135" s="19" t="s">
        <v>183</v>
      </c>
      <c r="P135" s="5">
        <f t="shared" si="3"/>
        <v>0</v>
      </c>
    </row>
    <row r="136" spans="1:40">
      <c r="B136" s="19" t="s">
        <v>112</v>
      </c>
      <c r="N136">
        <v>5.05</v>
      </c>
      <c r="O136" s="45">
        <v>38</v>
      </c>
      <c r="P136" s="5">
        <f t="shared" si="3"/>
        <v>191.9</v>
      </c>
      <c r="AI136">
        <v>15.8</v>
      </c>
      <c r="AJ136">
        <f>30.769230769*1.17</f>
        <v>35.999999999730001</v>
      </c>
    </row>
    <row r="137" spans="1:40">
      <c r="B137" s="19" t="s">
        <v>113</v>
      </c>
    </row>
    <row r="138" spans="1:40">
      <c r="P138" s="5">
        <f>SUM(P131:P137)</f>
        <v>13756.000000070735</v>
      </c>
    </row>
    <row r="139" spans="1:40" s="11" customFormat="1">
      <c r="A139" s="12" t="s">
        <v>114</v>
      </c>
      <c r="B139" s="20" t="s">
        <v>115</v>
      </c>
      <c r="C139" s="15" t="s">
        <v>116</v>
      </c>
      <c r="F139" s="21"/>
      <c r="G139" s="12"/>
      <c r="H139" s="11">
        <v>2500</v>
      </c>
      <c r="I139" s="21">
        <f>0.3418803419*1.17</f>
        <v>0.40000000002299996</v>
      </c>
      <c r="J139" s="12">
        <f>H139*I139</f>
        <v>1000.0000000574998</v>
      </c>
      <c r="K139" s="11">
        <v>5000</v>
      </c>
      <c r="L139" s="21">
        <v>0.4</v>
      </c>
      <c r="M139" s="12">
        <f>L139*K139</f>
        <v>2000</v>
      </c>
      <c r="N139" s="11">
        <v>25000</v>
      </c>
      <c r="O139" s="49">
        <f>0.3418803419*1.17</f>
        <v>0.40000000002299996</v>
      </c>
      <c r="P139" s="12">
        <f>N139*O139</f>
        <v>10000.000000574999</v>
      </c>
      <c r="Q139" s="11">
        <v>10000</v>
      </c>
      <c r="R139" s="21">
        <f>0.3418803419*1.17</f>
        <v>0.40000000002299996</v>
      </c>
      <c r="S139" s="12">
        <f>Q139*R139</f>
        <v>4000.0000002299994</v>
      </c>
      <c r="U139" s="21"/>
      <c r="V139" s="12"/>
      <c r="W139" s="11">
        <v>10000</v>
      </c>
      <c r="X139" s="11">
        <v>0.4</v>
      </c>
      <c r="Y139" s="36"/>
      <c r="Z139" s="11">
        <v>10000</v>
      </c>
      <c r="AA139" s="11">
        <v>0.4</v>
      </c>
      <c r="AB139" s="12"/>
      <c r="AE139" s="36"/>
      <c r="AF139" s="11">
        <v>5000</v>
      </c>
      <c r="AG139" s="11">
        <f>0.3418803419*1.17</f>
        <v>0.40000000002299996</v>
      </c>
      <c r="AH139" s="12"/>
      <c r="AK139" s="12"/>
      <c r="AN139" s="12"/>
    </row>
    <row r="141" spans="1:40">
      <c r="A141" s="5" t="s">
        <v>193</v>
      </c>
    </row>
    <row r="142" spans="1:40" s="11" customFormat="1">
      <c r="A142" s="12" t="s">
        <v>117</v>
      </c>
      <c r="B142" s="15" t="s">
        <v>118</v>
      </c>
      <c r="C142" s="15" t="s">
        <v>119</v>
      </c>
      <c r="F142" s="21"/>
      <c r="G142" s="12"/>
      <c r="I142" s="21"/>
      <c r="J142" s="12"/>
      <c r="L142" s="21"/>
      <c r="M142" s="12"/>
      <c r="O142" s="49"/>
      <c r="P142" s="12"/>
      <c r="R142" s="21"/>
      <c r="S142" s="12"/>
      <c r="U142" s="21"/>
      <c r="V142" s="12"/>
      <c r="Y142" s="36"/>
      <c r="AB142" s="12"/>
      <c r="AE142" s="36"/>
      <c r="AH142" s="12"/>
      <c r="AK142" s="12"/>
      <c r="AN142" s="12"/>
    </row>
    <row r="144" spans="1:40" s="11" customFormat="1">
      <c r="A144" s="12" t="s">
        <v>120</v>
      </c>
      <c r="B144" s="15" t="s">
        <v>121</v>
      </c>
      <c r="C144" s="15">
        <v>0.5</v>
      </c>
      <c r="D144" s="11">
        <v>188.83</v>
      </c>
      <c r="F144" s="21">
        <f>23.076923077*1.17</f>
        <v>27.000000000089997</v>
      </c>
      <c r="G144" s="12">
        <f>D144*F144</f>
        <v>5098.4100000169947</v>
      </c>
      <c r="H144" s="11">
        <v>94.05</v>
      </c>
      <c r="I144" s="21">
        <f>23.076923077*1.17</f>
        <v>27.000000000089997</v>
      </c>
      <c r="J144" s="12">
        <f>H144*I144</f>
        <v>2539.3500000084641</v>
      </c>
      <c r="K144" s="11">
        <v>115.03</v>
      </c>
      <c r="L144" s="21">
        <f>22.222222222*1.17</f>
        <v>25.999999999739998</v>
      </c>
      <c r="M144" s="12">
        <f>K144*L144</f>
        <v>2990.7799999700919</v>
      </c>
      <c r="N144" s="11">
        <f>155.21</f>
        <v>155.21</v>
      </c>
      <c r="O144" s="49">
        <f>22.222222222*1.17</f>
        <v>25.999999999739998</v>
      </c>
      <c r="P144" s="12">
        <f>N144*O144</f>
        <v>4035.4599999596453</v>
      </c>
      <c r="Q144" s="11">
        <v>154.06</v>
      </c>
      <c r="R144" s="21">
        <f>22.22222222*1.17</f>
        <v>25.999999997399996</v>
      </c>
      <c r="S144" s="12">
        <f>Q144*R144</f>
        <v>4005.5599995994435</v>
      </c>
      <c r="U144" s="21"/>
      <c r="V144" s="12"/>
      <c r="W144" s="11">
        <v>95.4</v>
      </c>
      <c r="X144">
        <f>22.222222*1.17</f>
        <v>25.999999739999996</v>
      </c>
      <c r="Y144" s="36"/>
      <c r="Z144" s="11">
        <v>152.33000000000001</v>
      </c>
      <c r="AA144" s="11">
        <f>21.367492*1.17</f>
        <v>24.999965639999996</v>
      </c>
      <c r="AB144" s="12"/>
      <c r="AC144" s="11">
        <v>147.57</v>
      </c>
      <c r="AD144" s="11">
        <f>21.367554*1.17</f>
        <v>25.000038179999997</v>
      </c>
      <c r="AE144" s="36"/>
      <c r="AF144" s="11">
        <v>201.3</v>
      </c>
      <c r="AG144" s="11">
        <f>21.367511*1.17</f>
        <v>24.999987869999998</v>
      </c>
      <c r="AH144" s="12"/>
      <c r="AI144" s="11">
        <v>97</v>
      </c>
      <c r="AJ144" s="11">
        <f>21.367511*1.17</f>
        <v>24.999987869999998</v>
      </c>
      <c r="AK144" s="12"/>
      <c r="AL144" s="11">
        <v>119.57</v>
      </c>
      <c r="AM144" s="11">
        <f>21.367511*1.17</f>
        <v>24.999987869999998</v>
      </c>
      <c r="AN144" s="12"/>
    </row>
    <row r="145" spans="1:40">
      <c r="C145" s="14">
        <v>0.6</v>
      </c>
      <c r="H145">
        <v>37.799999999999997</v>
      </c>
      <c r="I145" s="1">
        <v>27</v>
      </c>
      <c r="J145" s="5">
        <f>H145*I145</f>
        <v>1020.5999999999999</v>
      </c>
      <c r="K145">
        <v>291.44</v>
      </c>
      <c r="L145" s="1">
        <v>26</v>
      </c>
      <c r="M145" s="5">
        <f>K145*L145</f>
        <v>7577.44</v>
      </c>
      <c r="N145" s="9">
        <v>56.46</v>
      </c>
      <c r="O145" s="53">
        <f>22.222222222*1.17</f>
        <v>25.999999999739998</v>
      </c>
      <c r="P145" s="4">
        <f>N145*O145</f>
        <v>1467.9599999853203</v>
      </c>
      <c r="Q145">
        <v>37.909999999999997</v>
      </c>
      <c r="R145" s="21">
        <f t="shared" ref="R145:R146" si="4">22.22222222*1.17</f>
        <v>25.999999997399996</v>
      </c>
      <c r="S145" s="12">
        <f t="shared" ref="S145:S146" si="5">Q145*R145</f>
        <v>985.65999990143382</v>
      </c>
      <c r="T145">
        <v>56.46</v>
      </c>
      <c r="U145">
        <f>22.222281*1.17</f>
        <v>26.000068769999999</v>
      </c>
      <c r="V145" s="12"/>
      <c r="W145">
        <v>56.37</v>
      </c>
      <c r="X145">
        <f>22.222281*1.17</f>
        <v>26.000068769999999</v>
      </c>
      <c r="Z145">
        <v>114.92</v>
      </c>
      <c r="AA145">
        <v>25</v>
      </c>
      <c r="AF145">
        <v>154.12</v>
      </c>
      <c r="AG145">
        <f>21.367506*1.17</f>
        <v>24.999982019999997</v>
      </c>
    </row>
    <row r="146" spans="1:40">
      <c r="C146" s="14">
        <v>0.8</v>
      </c>
      <c r="D146">
        <v>387.79</v>
      </c>
      <c r="F146" s="1">
        <v>27</v>
      </c>
      <c r="G146" s="5">
        <f>D146*F146</f>
        <v>10470.33</v>
      </c>
      <c r="H146" s="9">
        <v>291.76</v>
      </c>
      <c r="I146" s="1">
        <v>27</v>
      </c>
      <c r="J146" s="5">
        <f>H146*I146</f>
        <v>7877.5199999999995</v>
      </c>
      <c r="N146">
        <v>385.51</v>
      </c>
      <c r="O146" s="53">
        <f>26</f>
        <v>26</v>
      </c>
      <c r="P146" s="4">
        <f>N146*O146</f>
        <v>10023.26</v>
      </c>
      <c r="Q146">
        <v>468.69</v>
      </c>
      <c r="R146" s="21">
        <f t="shared" si="4"/>
        <v>25.999999997399996</v>
      </c>
      <c r="S146" s="12">
        <f t="shared" si="5"/>
        <v>12185.939998781405</v>
      </c>
      <c r="T146" s="9">
        <v>506.14</v>
      </c>
      <c r="U146">
        <f>22.222231*1.17</f>
        <v>26.000010270000001</v>
      </c>
      <c r="V146" s="12"/>
      <c r="W146">
        <v>901.93</v>
      </c>
      <c r="X146">
        <f>22.222223*1.17</f>
        <v>26.000000909999997</v>
      </c>
      <c r="Z146">
        <v>400.7</v>
      </c>
      <c r="AA146">
        <v>25</v>
      </c>
      <c r="AC146">
        <v>502.34</v>
      </c>
      <c r="AD146">
        <f>21.36752*1.17</f>
        <v>24.999998399999996</v>
      </c>
      <c r="AI146">
        <v>500.43</v>
      </c>
      <c r="AJ146" s="11">
        <f>21.367511*1.17</f>
        <v>24.999987869999998</v>
      </c>
      <c r="AL146">
        <v>850.09</v>
      </c>
      <c r="AM146" s="11">
        <f>21.367511*1.17</f>
        <v>24.999987869999998</v>
      </c>
    </row>
    <row r="147" spans="1:40">
      <c r="C147" s="14">
        <v>0.6</v>
      </c>
    </row>
    <row r="148" spans="1:40">
      <c r="C148" s="14">
        <v>0.8</v>
      </c>
      <c r="N148">
        <v>24.21</v>
      </c>
      <c r="O148" s="45">
        <f>69.230769231*1.17</f>
        <v>81.000000000269992</v>
      </c>
      <c r="P148" s="5">
        <f>N148*O148</f>
        <v>1961.0100000065365</v>
      </c>
      <c r="Z148">
        <v>25.96</v>
      </c>
      <c r="AA148">
        <v>81</v>
      </c>
      <c r="AF148">
        <v>502.19</v>
      </c>
      <c r="AG148">
        <f>21.36753*1.17</f>
        <v>25.000010099999997</v>
      </c>
    </row>
    <row r="149" spans="1:40">
      <c r="C149" s="14">
        <v>1</v>
      </c>
      <c r="N149">
        <v>20.11</v>
      </c>
      <c r="O149" s="45">
        <f>73.504273504*1.17</f>
        <v>85.999999999679986</v>
      </c>
      <c r="P149" s="5">
        <f>N149*O149</f>
        <v>1729.4599999935645</v>
      </c>
      <c r="AF149">
        <v>19.73</v>
      </c>
      <c r="AG149">
        <f>73.504308*1.17</f>
        <v>86.000040359999986</v>
      </c>
      <c r="AI149">
        <v>19.95</v>
      </c>
      <c r="AJ149">
        <f>73.504308*1.17</f>
        <v>86.000040359999986</v>
      </c>
      <c r="AL149">
        <v>51.42</v>
      </c>
      <c r="AM149">
        <f>64.957353*1.17</f>
        <v>76.000103009999989</v>
      </c>
    </row>
    <row r="150" spans="1:40">
      <c r="C150" s="14">
        <v>0.5</v>
      </c>
      <c r="Q150" s="5"/>
      <c r="R150" s="27"/>
      <c r="W150">
        <v>19.88</v>
      </c>
      <c r="X150">
        <f>73.504024*1.17</f>
        <v>85.999708079999991</v>
      </c>
      <c r="AL150">
        <v>27.2</v>
      </c>
      <c r="AM150">
        <f>64.957353*1.17</f>
        <v>76.000103009999989</v>
      </c>
    </row>
    <row r="151" spans="1:40">
      <c r="G151" s="5">
        <f>SUM(G144:G150)</f>
        <v>15568.740000016995</v>
      </c>
      <c r="J151" s="5">
        <f>SUM(J144:J150)</f>
        <v>11437.470000008463</v>
      </c>
      <c r="M151" s="5">
        <f>SUM(M144:M150)</f>
        <v>10568.219999970092</v>
      </c>
      <c r="P151" s="5">
        <f>SUM(P144:P150)</f>
        <v>19217.149999945064</v>
      </c>
      <c r="S151" s="5">
        <f>SUM(S144:S150)</f>
        <v>17177.159998282281</v>
      </c>
    </row>
    <row r="152" spans="1:40" s="11" customFormat="1">
      <c r="A152" s="12" t="s">
        <v>130</v>
      </c>
      <c r="B152" s="18" t="s">
        <v>122</v>
      </c>
      <c r="C152" s="15"/>
      <c r="F152" s="21"/>
      <c r="G152" s="12"/>
      <c r="I152" s="21"/>
      <c r="J152" s="12"/>
      <c r="L152" s="21"/>
      <c r="M152" s="12"/>
      <c r="O152" s="49"/>
      <c r="P152" s="12"/>
      <c r="R152" s="21"/>
      <c r="S152" s="12"/>
      <c r="U152" s="21"/>
      <c r="V152" s="12"/>
      <c r="Y152" s="36"/>
      <c r="AB152" s="12"/>
      <c r="AE152" s="36"/>
      <c r="AH152" s="12"/>
      <c r="AK152" s="12"/>
      <c r="AN152" s="12"/>
    </row>
    <row r="153" spans="1:40">
      <c r="B153" s="19" t="s">
        <v>123</v>
      </c>
    </row>
    <row r="154" spans="1:40">
      <c r="B154" s="19" t="s">
        <v>124</v>
      </c>
      <c r="W154">
        <v>500</v>
      </c>
      <c r="X154">
        <f>0.641025641*1.17</f>
        <v>0.74999999997</v>
      </c>
      <c r="Z154">
        <v>500</v>
      </c>
      <c r="AA154">
        <v>0.75</v>
      </c>
      <c r="AF154">
        <v>500</v>
      </c>
      <c r="AG154">
        <f>0.641025641*1.17</f>
        <v>0.74999999997</v>
      </c>
      <c r="AI154">
        <v>500</v>
      </c>
      <c r="AJ154">
        <f>0.641025641*1.17</f>
        <v>0.74999999997</v>
      </c>
    </row>
    <row r="155" spans="1:40">
      <c r="B155" s="19" t="s">
        <v>125</v>
      </c>
      <c r="K155">
        <v>500</v>
      </c>
      <c r="L155" s="1">
        <f>1.111111111*1.17</f>
        <v>1.29999999987</v>
      </c>
      <c r="M155" s="5">
        <f>K155*L155</f>
        <v>649.99999993500001</v>
      </c>
      <c r="T155">
        <v>500</v>
      </c>
      <c r="U155">
        <f>1.0256410256*1.17</f>
        <v>1.1999999999519999</v>
      </c>
      <c r="W155">
        <v>500</v>
      </c>
      <c r="X155">
        <v>1.2</v>
      </c>
      <c r="Z155">
        <v>504</v>
      </c>
      <c r="AA155">
        <v>1.2</v>
      </c>
      <c r="AF155">
        <v>500</v>
      </c>
      <c r="AG155">
        <f>1.0256410256*1.17</f>
        <v>1.1999999999519999</v>
      </c>
      <c r="AI155">
        <v>503</v>
      </c>
      <c r="AJ155">
        <f>1.0256410256*1.17</f>
        <v>1.1999999999519999</v>
      </c>
      <c r="AL155">
        <v>500</v>
      </c>
      <c r="AM155">
        <f>1.0256410256*1.17</f>
        <v>1.1999999999519999</v>
      </c>
    </row>
    <row r="156" spans="1:40">
      <c r="B156" s="19" t="s">
        <v>126</v>
      </c>
      <c r="U156"/>
    </row>
    <row r="157" spans="1:40">
      <c r="B157" s="19" t="s">
        <v>202</v>
      </c>
      <c r="Q157">
        <v>1100</v>
      </c>
      <c r="R157" s="1">
        <f>0.641025641*1.17</f>
        <v>0.74999999997</v>
      </c>
      <c r="S157" s="5">
        <f>Q157*R157</f>
        <v>824.99999996700001</v>
      </c>
      <c r="U157"/>
    </row>
    <row r="158" spans="1:40">
      <c r="B158" s="19" t="s">
        <v>184</v>
      </c>
      <c r="D158">
        <v>500</v>
      </c>
      <c r="F158" s="1">
        <f>1.1111111111*1.17</f>
        <v>1.299999999987</v>
      </c>
      <c r="G158" s="5">
        <f>D158*F158</f>
        <v>649.99999999349996</v>
      </c>
      <c r="Q158">
        <v>600</v>
      </c>
      <c r="R158" s="1">
        <f>1.0256410256*1.17</f>
        <v>1.1999999999519999</v>
      </c>
      <c r="S158" s="5">
        <f>Q158*R158</f>
        <v>719.99999997119994</v>
      </c>
      <c r="U158"/>
    </row>
    <row r="159" spans="1:40">
      <c r="B159" s="19" t="s">
        <v>127</v>
      </c>
      <c r="U159"/>
    </row>
    <row r="160" spans="1:40">
      <c r="B160" s="19" t="s">
        <v>131</v>
      </c>
      <c r="U160"/>
    </row>
    <row r="161" spans="1:40">
      <c r="B161" s="19" t="s">
        <v>147</v>
      </c>
      <c r="D161">
        <f>600+800</f>
        <v>1400</v>
      </c>
      <c r="F161" s="1">
        <f>1.452991453*1.17</f>
        <v>1.70000000001</v>
      </c>
      <c r="G161" s="5">
        <f>D161*F161</f>
        <v>2380.0000000139999</v>
      </c>
      <c r="K161">
        <v>1000</v>
      </c>
      <c r="L161" s="1">
        <f>1.452991453*1.17</f>
        <v>1.70000000001</v>
      </c>
      <c r="M161" s="5">
        <f>K161*L161</f>
        <v>1700.0000000099999</v>
      </c>
      <c r="N161">
        <v>1500</v>
      </c>
      <c r="O161" s="45">
        <f>1.452991453*1.17</f>
        <v>1.70000000001</v>
      </c>
      <c r="P161" s="5">
        <f>N161*O161</f>
        <v>2550.0000000149998</v>
      </c>
      <c r="T161">
        <v>800</v>
      </c>
      <c r="U161">
        <f>1.452991453*1.17</f>
        <v>1.70000000001</v>
      </c>
      <c r="W161">
        <v>800</v>
      </c>
      <c r="X161">
        <f>1.1965811966*1.17</f>
        <v>1.4000000000219999</v>
      </c>
      <c r="AC161">
        <v>1097</v>
      </c>
      <c r="AD161">
        <f>1.1965811966*1.17</f>
        <v>1.4000000000219999</v>
      </c>
      <c r="AF161">
        <v>1000</v>
      </c>
      <c r="AG161">
        <f>1.1965811966*1.17</f>
        <v>1.4000000000219999</v>
      </c>
      <c r="AI161">
        <v>800</v>
      </c>
      <c r="AJ161">
        <f>1.1965811966*1.17</f>
        <v>1.4000000000219999</v>
      </c>
      <c r="AL161">
        <v>800</v>
      </c>
      <c r="AM161">
        <f>1.1965811966*1.17</f>
        <v>1.4000000000219999</v>
      </c>
    </row>
    <row r="162" spans="1:40">
      <c r="B162" s="19" t="s">
        <v>148</v>
      </c>
      <c r="U162"/>
    </row>
    <row r="163" spans="1:40">
      <c r="B163" s="19" t="s">
        <v>217</v>
      </c>
      <c r="U163"/>
      <c r="AF163">
        <v>590</v>
      </c>
      <c r="AG163">
        <f>1.1965811966*1.17</f>
        <v>1.4000000000219999</v>
      </c>
    </row>
    <row r="164" spans="1:40">
      <c r="B164" s="19" t="s">
        <v>128</v>
      </c>
      <c r="D164">
        <v>500</v>
      </c>
      <c r="F164" s="1">
        <f>2.8632478632*1.17</f>
        <v>3.3499999999439996</v>
      </c>
      <c r="G164" s="5">
        <f>D164*F164</f>
        <v>1674.9999999719998</v>
      </c>
      <c r="K164">
        <v>501</v>
      </c>
      <c r="L164" s="1">
        <f>2.8632478632*1.17</f>
        <v>3.3499999999439996</v>
      </c>
      <c r="M164" s="5">
        <f>K164*L164</f>
        <v>1678.3499999719438</v>
      </c>
      <c r="N164">
        <v>510</v>
      </c>
      <c r="O164" s="45">
        <f>2.8632478632*1.17</f>
        <v>3.3499999999439996</v>
      </c>
      <c r="P164" s="5">
        <f>N164*O164</f>
        <v>1708.4999999714398</v>
      </c>
      <c r="Q164">
        <v>740</v>
      </c>
      <c r="R164" s="1">
        <f>2.735042735*1.17</f>
        <v>3.1999999999499997</v>
      </c>
      <c r="S164" s="5">
        <f>Q164*R164</f>
        <v>2367.9999999629999</v>
      </c>
      <c r="U164"/>
      <c r="W164">
        <v>500</v>
      </c>
      <c r="X164">
        <v>3.2</v>
      </c>
      <c r="Z164">
        <v>330</v>
      </c>
      <c r="AA164">
        <v>3.2</v>
      </c>
      <c r="AC164" s="9">
        <v>550</v>
      </c>
      <c r="AD164">
        <f>2.735042735*1.17</f>
        <v>3.1999999999499997</v>
      </c>
      <c r="AF164">
        <v>200</v>
      </c>
      <c r="AG164">
        <f>2.735042735*1.17</f>
        <v>3.1999999999499997</v>
      </c>
      <c r="AI164">
        <f>800+255</f>
        <v>1055</v>
      </c>
      <c r="AJ164">
        <f>2.735042735*1.17</f>
        <v>3.1999999999499997</v>
      </c>
    </row>
    <row r="165" spans="1:40">
      <c r="B165" s="19" t="s">
        <v>129</v>
      </c>
      <c r="U165"/>
    </row>
    <row r="166" spans="1:40">
      <c r="B166" s="19" t="s">
        <v>145</v>
      </c>
      <c r="D166">
        <v>150</v>
      </c>
      <c r="F166" s="1">
        <f>4.2564102564*1.17</f>
        <v>4.9799999999879994</v>
      </c>
      <c r="G166" s="5">
        <f>D166*F166</f>
        <v>746.99999999819988</v>
      </c>
      <c r="K166">
        <v>70</v>
      </c>
      <c r="L166" s="1">
        <f>4.2564102564*1.17</f>
        <v>4.9799999999879994</v>
      </c>
      <c r="M166" s="5">
        <f>K166*L166</f>
        <v>348.59999999915993</v>
      </c>
      <c r="T166">
        <v>100</v>
      </c>
      <c r="U166">
        <f>4.1025641026*1.17</f>
        <v>4.8000000000419991</v>
      </c>
      <c r="W166">
        <v>100</v>
      </c>
      <c r="X166">
        <v>4.8</v>
      </c>
      <c r="AC166">
        <v>200</v>
      </c>
      <c r="AD166">
        <f>4.1025641025*1.17</f>
        <v>4.7999999999249994</v>
      </c>
      <c r="AF166">
        <v>100</v>
      </c>
      <c r="AG166">
        <f>4.1025641025*1.17</f>
        <v>4.7999999999249994</v>
      </c>
      <c r="AI166">
        <v>103</v>
      </c>
      <c r="AJ166">
        <f>4.1025641025*1.17</f>
        <v>4.7999999999249994</v>
      </c>
      <c r="AL166">
        <v>100</v>
      </c>
      <c r="AM166">
        <f>4.1025641025*1.17</f>
        <v>4.7999999999249994</v>
      </c>
    </row>
    <row r="167" spans="1:40">
      <c r="B167" s="19" t="s">
        <v>160</v>
      </c>
    </row>
    <row r="168" spans="1:40">
      <c r="B168" s="19" t="s">
        <v>146</v>
      </c>
      <c r="D168">
        <v>60</v>
      </c>
      <c r="F168" s="1">
        <f>4.4444444444*1.17</f>
        <v>5.199999999948</v>
      </c>
      <c r="G168" s="5">
        <f>D168*F168</f>
        <v>311.99999999687998</v>
      </c>
      <c r="K168">
        <v>40</v>
      </c>
      <c r="L168" s="1">
        <f>4.4444444444*1.17</f>
        <v>5.199999999948</v>
      </c>
      <c r="M168" s="5">
        <f>K168*L168</f>
        <v>207.99999999791999</v>
      </c>
      <c r="N168">
        <v>96</v>
      </c>
      <c r="O168" s="45">
        <f>4.4444444444*1.17</f>
        <v>5.199999999948</v>
      </c>
      <c r="P168" s="5">
        <f>N168*O168</f>
        <v>499.199999995008</v>
      </c>
      <c r="X168" s="39"/>
      <c r="AC168">
        <v>50</v>
      </c>
      <c r="AD168">
        <f>4.44444444*1.17</f>
        <v>5.1999999947999997</v>
      </c>
    </row>
    <row r="169" spans="1:40">
      <c r="B169" s="19"/>
    </row>
    <row r="170" spans="1:40">
      <c r="G170" s="26"/>
    </row>
    <row r="171" spans="1:40">
      <c r="G171" s="5">
        <f>SUM(G158:G170)</f>
        <v>5763.9999999745796</v>
      </c>
      <c r="M171" s="5">
        <f>SUM(M154:M170)</f>
        <v>4584.9499999140235</v>
      </c>
      <c r="P171" s="5">
        <f>SUM(P161:P170)</f>
        <v>4757.699999981447</v>
      </c>
      <c r="S171" s="5">
        <f>SUM(S157:S170)</f>
        <v>3912.9999999011998</v>
      </c>
    </row>
    <row r="172" spans="1:40" s="11" customFormat="1">
      <c r="A172" s="12" t="s">
        <v>134</v>
      </c>
      <c r="B172" s="20" t="s">
        <v>8</v>
      </c>
      <c r="C172" s="15">
        <v>618</v>
      </c>
      <c r="F172" s="21"/>
      <c r="G172" s="12"/>
      <c r="H172" s="11">
        <v>1</v>
      </c>
      <c r="I172" s="21">
        <v>28300</v>
      </c>
      <c r="J172" s="12">
        <v>28300</v>
      </c>
      <c r="L172" s="21"/>
      <c r="M172" s="12"/>
      <c r="O172" s="49"/>
      <c r="P172" s="12"/>
      <c r="R172" s="21"/>
      <c r="S172" s="12"/>
      <c r="U172" s="21"/>
      <c r="V172" s="12"/>
      <c r="Y172" s="36"/>
      <c r="AB172" s="12"/>
      <c r="AE172" s="36"/>
      <c r="AH172" s="12"/>
      <c r="AK172" s="12"/>
      <c r="AN172" s="12"/>
    </row>
    <row r="174" spans="1:40" s="11" customFormat="1">
      <c r="A174" s="12" t="s">
        <v>210</v>
      </c>
      <c r="B174" s="20" t="s">
        <v>221</v>
      </c>
      <c r="C174" s="15">
        <v>164</v>
      </c>
      <c r="F174" s="21"/>
      <c r="G174" s="12"/>
      <c r="H174" s="11">
        <v>1</v>
      </c>
      <c r="I174" s="21">
        <v>28300</v>
      </c>
      <c r="J174" s="12">
        <v>28300</v>
      </c>
      <c r="L174" s="21"/>
      <c r="M174" s="12"/>
      <c r="O174" s="49"/>
      <c r="P174" s="12"/>
      <c r="R174" s="21"/>
      <c r="S174" s="12"/>
      <c r="U174" s="21"/>
      <c r="V174" s="12"/>
      <c r="Y174" s="36"/>
      <c r="Z174" s="11">
        <v>1</v>
      </c>
      <c r="AA174" s="11">
        <v>16500</v>
      </c>
      <c r="AB174" s="12"/>
      <c r="AE174" s="36"/>
      <c r="AH174" s="12"/>
      <c r="AI174" s="11">
        <v>1</v>
      </c>
      <c r="AJ174" s="11">
        <v>16000</v>
      </c>
      <c r="AK174" s="12"/>
      <c r="AN174" s="12"/>
    </row>
    <row r="176" spans="1:40" s="11" customFormat="1">
      <c r="A176" s="12" t="s">
        <v>138</v>
      </c>
      <c r="B176" s="18" t="s">
        <v>136</v>
      </c>
      <c r="C176" s="15"/>
      <c r="F176" s="21"/>
      <c r="G176" s="12"/>
      <c r="I176" s="21"/>
      <c r="J176" s="12"/>
      <c r="L176" s="21"/>
      <c r="M176" s="12"/>
      <c r="N176" s="11">
        <v>11760</v>
      </c>
      <c r="O176" s="49">
        <v>0.5</v>
      </c>
      <c r="P176" s="12">
        <f>N176*O176</f>
        <v>5880</v>
      </c>
      <c r="R176" s="21"/>
      <c r="S176" s="12"/>
      <c r="T176" s="11">
        <v>10290</v>
      </c>
      <c r="U176" s="21">
        <f>0.4273504274*1.17</f>
        <v>0.50000000005799994</v>
      </c>
      <c r="V176" s="12"/>
      <c r="Y176" s="36"/>
      <c r="AB176" s="12"/>
      <c r="AE176" s="36"/>
      <c r="AH176" s="12"/>
      <c r="AK176" s="12"/>
      <c r="AN176" s="12"/>
    </row>
    <row r="177" spans="1:40">
      <c r="B177" s="19" t="s">
        <v>137</v>
      </c>
    </row>
    <row r="178" spans="1:40" s="42" customFormat="1">
      <c r="A178" s="40"/>
      <c r="B178" s="19" t="s">
        <v>177</v>
      </c>
      <c r="C178" s="41"/>
      <c r="F178" s="43"/>
      <c r="G178" s="40"/>
      <c r="I178" s="43"/>
      <c r="J178" s="40"/>
      <c r="L178" s="43"/>
      <c r="M178" s="40"/>
      <c r="O178" s="54"/>
      <c r="P178" s="40"/>
      <c r="R178" s="43"/>
      <c r="S178" s="40"/>
      <c r="U178" s="43"/>
      <c r="V178" s="40"/>
      <c r="Y178" s="44"/>
      <c r="AB178" s="40"/>
      <c r="AE178" s="44"/>
      <c r="AH178" s="40"/>
      <c r="AK178" s="40"/>
      <c r="AN178" s="40"/>
    </row>
    <row r="179" spans="1:40">
      <c r="A179" s="5" t="s">
        <v>171</v>
      </c>
      <c r="B179" s="14" t="s">
        <v>172</v>
      </c>
    </row>
    <row r="180" spans="1:40" s="42" customFormat="1">
      <c r="A180" s="40"/>
      <c r="B180" s="41"/>
      <c r="C180" s="41"/>
      <c r="F180" s="43"/>
      <c r="G180" s="40"/>
      <c r="I180" s="43"/>
      <c r="J180" s="40"/>
      <c r="L180" s="43"/>
      <c r="M180" s="40"/>
      <c r="O180" s="54"/>
      <c r="P180" s="40"/>
      <c r="R180" s="43"/>
      <c r="S180" s="40"/>
      <c r="U180" s="43"/>
      <c r="V180" s="40"/>
      <c r="Y180" s="44"/>
      <c r="AB180" s="40"/>
      <c r="AE180" s="44"/>
      <c r="AH180" s="40"/>
      <c r="AK180" s="40"/>
      <c r="AN180" s="40"/>
    </row>
    <row r="181" spans="1:40">
      <c r="A181" s="5" t="s">
        <v>219</v>
      </c>
      <c r="B181" s="14" t="s">
        <v>220</v>
      </c>
      <c r="AI181">
        <v>20</v>
      </c>
      <c r="AJ181">
        <f>58.974358974*1.17</f>
        <v>68.999999999579998</v>
      </c>
    </row>
  </sheetData>
  <sortState ref="A90:AN123">
    <sortCondition descending="1" ref="B90:B123"/>
  </sortState>
  <mergeCells count="12">
    <mergeCell ref="AL1:AN1"/>
    <mergeCell ref="D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188"/>
  <sheetViews>
    <sheetView zoomScaleNormal="100" workbookViewId="0">
      <pane xSplit="2" ySplit="2" topLeftCell="C99" activePane="bottomRight" state="frozen"/>
      <selection pane="topRight" activeCell="C1" sqref="C1"/>
      <selection pane="bottomLeft" activeCell="A3" sqref="A3"/>
      <selection pane="bottomRight" activeCell="A107" sqref="A107:XFD107"/>
    </sheetView>
  </sheetViews>
  <sheetFormatPr defaultRowHeight="14.4"/>
  <cols>
    <col min="1" max="1" width="11" style="5" bestFit="1" customWidth="1"/>
    <col min="2" max="2" width="26.109375" style="14" bestFit="1" customWidth="1"/>
    <col min="3" max="3" width="11.6640625" style="14" customWidth="1"/>
    <col min="4" max="4" width="7.5546875" bestFit="1" customWidth="1"/>
    <col min="5" max="5" width="20.33203125" style="1" customWidth="1"/>
    <col min="6" max="6" width="12.77734375" style="5" bestFit="1" customWidth="1"/>
    <col min="7" max="7" width="7.5546875" bestFit="1" customWidth="1"/>
    <col min="8" max="8" width="9.77734375" style="1" customWidth="1"/>
    <col min="9" max="9" width="6.109375" style="5" customWidth="1"/>
    <col min="10" max="10" width="7.5546875" bestFit="1" customWidth="1"/>
    <col min="11" max="11" width="10.44140625" style="1" bestFit="1" customWidth="1"/>
    <col min="12" max="12" width="6.5546875" style="5" bestFit="1" customWidth="1"/>
    <col min="13" max="13" width="7.5546875" bestFit="1" customWidth="1"/>
    <col min="14" max="14" width="10.44140625" style="45" bestFit="1" customWidth="1"/>
    <col min="15" max="15" width="9.5546875" style="5" bestFit="1" customWidth="1"/>
    <col min="16" max="16" width="7.5546875" bestFit="1" customWidth="1"/>
    <col min="17" max="17" width="10.44140625" style="1" bestFit="1" customWidth="1"/>
    <col min="18" max="18" width="6.109375" style="5" customWidth="1"/>
    <col min="19" max="19" width="8.5546875" bestFit="1" customWidth="1"/>
    <col min="20" max="20" width="7.77734375" style="1" customWidth="1"/>
    <col min="21" max="21" width="5.5546875" style="5" bestFit="1" customWidth="1"/>
    <col min="22" max="22" width="7.5546875" bestFit="1" customWidth="1"/>
    <col min="23" max="23" width="7.44140625" customWidth="1"/>
    <col min="24" max="24" width="3.5546875" style="35" customWidth="1"/>
    <col min="25" max="25" width="7.5546875" bestFit="1" customWidth="1"/>
    <col min="26" max="26" width="8.21875" customWidth="1"/>
    <col min="27" max="27" width="1.44140625" style="5" customWidth="1"/>
    <col min="28" max="28" width="7.5546875" bestFit="1" customWidth="1"/>
    <col min="29" max="29" width="9.44140625" customWidth="1"/>
    <col min="30" max="30" width="5.5546875" style="35" bestFit="1" customWidth="1"/>
    <col min="31" max="31" width="7.5546875" bestFit="1" customWidth="1"/>
    <col min="32" max="32" width="8.21875" customWidth="1"/>
    <col min="33" max="33" width="12.77734375" style="5" bestFit="1" customWidth="1"/>
    <col min="34" max="34" width="7.5546875" bestFit="1" customWidth="1"/>
    <col min="35" max="35" width="8.44140625" customWidth="1"/>
    <col min="36" max="36" width="5" style="5" customWidth="1"/>
    <col min="37" max="37" width="7.5546875" bestFit="1" customWidth="1"/>
    <col min="38" max="38" width="8.6640625" customWidth="1"/>
    <col min="39" max="39" width="12.77734375" style="5" bestFit="1" customWidth="1"/>
  </cols>
  <sheetData>
    <row r="1" spans="1:39">
      <c r="D1" s="112" t="s">
        <v>35</v>
      </c>
      <c r="E1" s="112"/>
      <c r="F1" s="112"/>
      <c r="G1" s="112" t="s">
        <v>36</v>
      </c>
      <c r="H1" s="112"/>
      <c r="I1" s="112"/>
      <c r="J1" s="112" t="s">
        <v>37</v>
      </c>
      <c r="K1" s="112"/>
      <c r="L1" s="112"/>
      <c r="M1" s="112" t="s">
        <v>139</v>
      </c>
      <c r="N1" s="112"/>
      <c r="O1" s="112"/>
      <c r="P1" s="113" t="s">
        <v>149</v>
      </c>
      <c r="Q1" s="113"/>
      <c r="R1" s="114"/>
      <c r="S1" s="115" t="s">
        <v>153</v>
      </c>
      <c r="T1" s="113"/>
      <c r="U1" s="114"/>
      <c r="V1" s="115" t="s">
        <v>156</v>
      </c>
      <c r="W1" s="113"/>
      <c r="X1" s="114"/>
      <c r="Y1" s="115" t="s">
        <v>162</v>
      </c>
      <c r="Z1" s="113"/>
      <c r="AA1" s="114"/>
      <c r="AB1" s="112" t="s">
        <v>166</v>
      </c>
      <c r="AC1" s="112"/>
      <c r="AD1" s="112"/>
      <c r="AE1" s="112" t="s">
        <v>170</v>
      </c>
      <c r="AF1" s="112"/>
      <c r="AG1" s="112"/>
      <c r="AH1" s="112" t="s">
        <v>178</v>
      </c>
      <c r="AI1" s="112"/>
      <c r="AJ1" s="112"/>
      <c r="AK1" s="112" t="s">
        <v>182</v>
      </c>
      <c r="AL1" s="112"/>
      <c r="AM1" s="112"/>
    </row>
    <row r="2" spans="1:39">
      <c r="C2" s="14" t="s">
        <v>32</v>
      </c>
      <c r="D2" t="s">
        <v>4</v>
      </c>
      <c r="E2" s="1" t="s">
        <v>33</v>
      </c>
      <c r="F2" s="5" t="s">
        <v>31</v>
      </c>
      <c r="G2" t="s">
        <v>4</v>
      </c>
      <c r="H2" s="1" t="s">
        <v>33</v>
      </c>
      <c r="I2" s="5" t="s">
        <v>31</v>
      </c>
      <c r="J2" t="s">
        <v>4</v>
      </c>
      <c r="K2" s="1" t="s">
        <v>33</v>
      </c>
      <c r="L2" s="5" t="s">
        <v>31</v>
      </c>
      <c r="M2" s="9" t="s">
        <v>4</v>
      </c>
      <c r="N2" s="48" t="s">
        <v>33</v>
      </c>
      <c r="O2" s="10" t="s">
        <v>31</v>
      </c>
      <c r="P2" s="9" t="s">
        <v>4</v>
      </c>
      <c r="Q2" s="24" t="s">
        <v>33</v>
      </c>
      <c r="R2" s="5" t="s">
        <v>31</v>
      </c>
      <c r="S2" s="9" t="s">
        <v>4</v>
      </c>
      <c r="T2" s="24" t="s">
        <v>33</v>
      </c>
      <c r="U2" s="5" t="s">
        <v>31</v>
      </c>
      <c r="V2" s="9" t="s">
        <v>4</v>
      </c>
      <c r="W2" s="9" t="s">
        <v>33</v>
      </c>
      <c r="X2" s="35" t="s">
        <v>31</v>
      </c>
      <c r="Y2" s="9" t="s">
        <v>4</v>
      </c>
      <c r="Z2" s="9" t="s">
        <v>33</v>
      </c>
      <c r="AA2" s="5" t="s">
        <v>31</v>
      </c>
      <c r="AB2" s="9" t="s">
        <v>4</v>
      </c>
      <c r="AC2" s="9" t="s">
        <v>33</v>
      </c>
      <c r="AD2" s="35" t="s">
        <v>31</v>
      </c>
      <c r="AE2" s="9" t="s">
        <v>4</v>
      </c>
      <c r="AF2" s="9" t="s">
        <v>33</v>
      </c>
      <c r="AG2" s="5" t="s">
        <v>31</v>
      </c>
      <c r="AH2" s="9" t="s">
        <v>4</v>
      </c>
      <c r="AI2" s="9" t="s">
        <v>33</v>
      </c>
      <c r="AJ2" s="5" t="s">
        <v>31</v>
      </c>
      <c r="AK2" s="9" t="s">
        <v>4</v>
      </c>
      <c r="AL2" s="9" t="s">
        <v>33</v>
      </c>
      <c r="AM2" s="10" t="s">
        <v>31</v>
      </c>
    </row>
    <row r="3" spans="1:39">
      <c r="L3" s="5">
        <f>SUM(L25:L31)</f>
        <v>0</v>
      </c>
    </row>
    <row r="4" spans="1:39" s="11" customFormat="1">
      <c r="A4" s="12" t="s">
        <v>5</v>
      </c>
      <c r="B4" s="15" t="s">
        <v>6</v>
      </c>
      <c r="C4" s="15">
        <v>1.54</v>
      </c>
      <c r="E4" s="21"/>
      <c r="F4" s="12">
        <f>D4*E4</f>
        <v>0</v>
      </c>
      <c r="G4" s="13"/>
      <c r="H4" s="21">
        <f>89.743589744*1.17</f>
        <v>105.00000000048</v>
      </c>
      <c r="I4" s="12">
        <f>G4*H4</f>
        <v>0</v>
      </c>
      <c r="K4" s="21"/>
      <c r="L4" s="12"/>
      <c r="N4" s="49"/>
      <c r="O4" s="12"/>
      <c r="Q4" s="21"/>
      <c r="R4" s="12"/>
      <c r="T4" s="21"/>
      <c r="U4" s="12"/>
      <c r="X4" s="36"/>
      <c r="AA4" s="12"/>
      <c r="AD4" s="36"/>
      <c r="AG4" s="12"/>
      <c r="AJ4" s="12"/>
      <c r="AM4" s="12"/>
    </row>
    <row r="5" spans="1:39">
      <c r="B5" s="14" t="s">
        <v>15</v>
      </c>
    </row>
    <row r="6" spans="1:39">
      <c r="B6" s="14" t="s">
        <v>16</v>
      </c>
      <c r="C6" s="14">
        <v>1.54</v>
      </c>
      <c r="F6" s="5">
        <f>D6*E6</f>
        <v>0</v>
      </c>
      <c r="G6" s="9"/>
      <c r="H6" s="1">
        <f>59.829059829*1.17</f>
        <v>69.999999999929997</v>
      </c>
      <c r="I6" s="5">
        <f>G6*H6</f>
        <v>0</v>
      </c>
    </row>
    <row r="7" spans="1:39">
      <c r="B7" s="14" t="s">
        <v>17</v>
      </c>
      <c r="C7" s="14">
        <v>2</v>
      </c>
      <c r="D7">
        <v>20</v>
      </c>
      <c r="E7" s="1">
        <f>85.47008547*1.17</f>
        <v>99.999999999899998</v>
      </c>
    </row>
    <row r="8" spans="1:39">
      <c r="B8" s="14" t="s">
        <v>19</v>
      </c>
    </row>
    <row r="9" spans="1:39">
      <c r="B9" s="14" t="s">
        <v>39</v>
      </c>
      <c r="C9" s="14">
        <v>1.54</v>
      </c>
      <c r="D9" s="3"/>
      <c r="E9" s="23"/>
    </row>
    <row r="10" spans="1:39">
      <c r="D10" s="3"/>
      <c r="E10" s="23"/>
    </row>
    <row r="11" spans="1:39" s="11" customFormat="1">
      <c r="A11" s="12" t="s">
        <v>20</v>
      </c>
      <c r="B11" s="15" t="s">
        <v>212</v>
      </c>
      <c r="C11" s="15">
        <v>1.54</v>
      </c>
      <c r="E11" s="21"/>
      <c r="F11" s="12"/>
      <c r="H11" s="21"/>
      <c r="I11" s="12"/>
      <c r="K11" s="21"/>
      <c r="L11" s="12"/>
      <c r="N11" s="49"/>
      <c r="O11" s="12"/>
      <c r="Q11" s="21"/>
      <c r="R11" s="12"/>
      <c r="T11" s="21"/>
      <c r="U11" s="12"/>
      <c r="X11" s="36"/>
      <c r="AA11" s="12"/>
      <c r="AB11"/>
      <c r="AC11"/>
      <c r="AD11" s="36"/>
      <c r="AG11" s="12"/>
      <c r="AJ11" s="12"/>
      <c r="AM11" s="12"/>
    </row>
    <row r="12" spans="1:39">
      <c r="B12" s="14" t="s">
        <v>267</v>
      </c>
      <c r="C12" s="14">
        <v>1.54</v>
      </c>
      <c r="D12">
        <v>600</v>
      </c>
      <c r="E12" s="1">
        <f>69.230769231*1.17</f>
        <v>81.000000000269992</v>
      </c>
      <c r="J12">
        <v>600</v>
      </c>
      <c r="K12" s="1">
        <f>82.05128205*1.17</f>
        <v>95.999999998499987</v>
      </c>
      <c r="V12">
        <v>600</v>
      </c>
      <c r="W12">
        <f>84.871794872*1.17</f>
        <v>99.30000000023999</v>
      </c>
      <c r="AK12">
        <f>210+600</f>
        <v>810</v>
      </c>
      <c r="AL12">
        <f>104.27350427*1.17</f>
        <v>121.9999999959</v>
      </c>
    </row>
    <row r="13" spans="1:39">
      <c r="B13" s="14" t="s">
        <v>16</v>
      </c>
      <c r="C13" s="14">
        <v>1.54</v>
      </c>
    </row>
    <row r="14" spans="1:39">
      <c r="B14" s="14" t="s">
        <v>21</v>
      </c>
      <c r="C14" s="14">
        <v>1.6</v>
      </c>
      <c r="J14">
        <v>1005</v>
      </c>
      <c r="K14" s="1">
        <f>64.102564103*1.17</f>
        <v>75.000000000509999</v>
      </c>
      <c r="V14">
        <f>210+510</f>
        <v>720</v>
      </c>
      <c r="W14">
        <f>68.717948718*1.17</f>
        <v>80.400000000060004</v>
      </c>
      <c r="AE14">
        <v>600</v>
      </c>
      <c r="AF14">
        <f>75.213675214*1.17</f>
        <v>88.000000000379998</v>
      </c>
      <c r="AK14">
        <v>600</v>
      </c>
      <c r="AL14">
        <f>86.324786352*1.17</f>
        <v>101.00000003184</v>
      </c>
    </row>
    <row r="15" spans="1:39">
      <c r="B15" s="14" t="s">
        <v>22</v>
      </c>
      <c r="C15" s="14">
        <v>1.6</v>
      </c>
    </row>
    <row r="16" spans="1:39" s="32" customFormat="1">
      <c r="A16" s="29"/>
      <c r="B16" s="28" t="s">
        <v>155</v>
      </c>
      <c r="C16" s="30">
        <v>1.54</v>
      </c>
      <c r="D16" s="31"/>
      <c r="E16" s="33"/>
      <c r="F16" s="34"/>
      <c r="H16" s="31"/>
      <c r="I16" s="34"/>
      <c r="K16" s="31"/>
      <c r="L16" s="34"/>
      <c r="N16" s="50"/>
      <c r="O16" s="34"/>
      <c r="Q16" s="31"/>
      <c r="R16" s="34"/>
      <c r="T16" s="31"/>
      <c r="U16" s="34"/>
      <c r="X16" s="38"/>
      <c r="Z16" s="32">
        <v>0</v>
      </c>
      <c r="AA16" s="34"/>
      <c r="AD16" s="38"/>
      <c r="AG16" s="34"/>
      <c r="AJ16" s="34"/>
      <c r="AM16" s="34"/>
    </row>
    <row r="17" spans="1:39">
      <c r="B17" s="14" t="s">
        <v>218</v>
      </c>
      <c r="C17" s="14">
        <v>1.54</v>
      </c>
    </row>
    <row r="18" spans="1:39" s="6" customFormat="1">
      <c r="A18" s="8"/>
      <c r="B18" s="16" t="s">
        <v>264</v>
      </c>
      <c r="C18" s="16"/>
      <c r="E18" s="22"/>
      <c r="F18" s="8"/>
      <c r="H18" s="22"/>
      <c r="I18" s="8"/>
      <c r="K18" s="22"/>
      <c r="L18" s="8"/>
      <c r="N18" s="51"/>
      <c r="O18" s="8"/>
      <c r="Q18" s="22"/>
      <c r="R18" s="8"/>
      <c r="T18" s="22"/>
      <c r="U18" s="8"/>
      <c r="X18" s="37"/>
      <c r="AA18" s="8"/>
      <c r="AD18" s="37"/>
      <c r="AE18" s="6">
        <v>20</v>
      </c>
      <c r="AF18" s="6">
        <f>122.22222222*1.17</f>
        <v>142.99999999740001</v>
      </c>
      <c r="AG18" s="8"/>
      <c r="AJ18" s="8"/>
      <c r="AK18" s="6">
        <v>20</v>
      </c>
      <c r="AL18" s="6">
        <f>137.60683761*1.17</f>
        <v>161.00000000369999</v>
      </c>
      <c r="AM18" s="8"/>
    </row>
    <row r="19" spans="1:39" s="6" customFormat="1">
      <c r="A19" s="8"/>
      <c r="B19" s="16"/>
      <c r="C19" s="16"/>
      <c r="E19" s="22"/>
      <c r="F19" s="8"/>
      <c r="H19" s="22"/>
      <c r="I19" s="8"/>
      <c r="K19" s="22"/>
      <c r="L19" s="8"/>
      <c r="N19" s="51"/>
      <c r="O19" s="8"/>
      <c r="Q19" s="22"/>
      <c r="R19" s="8"/>
      <c r="T19" s="22"/>
      <c r="U19" s="8"/>
      <c r="X19" s="37"/>
      <c r="AA19" s="8"/>
      <c r="AD19" s="37"/>
      <c r="AG19" s="8"/>
      <c r="AJ19" s="8"/>
      <c r="AM19" s="8"/>
    </row>
    <row r="20" spans="1:39">
      <c r="A20" s="5" t="s">
        <v>173</v>
      </c>
      <c r="B20" s="14" t="s">
        <v>216</v>
      </c>
      <c r="J20">
        <v>600</v>
      </c>
      <c r="K20" s="1">
        <f>60.683760684*1.17</f>
        <v>71.000000000279996</v>
      </c>
      <c r="P20">
        <v>600</v>
      </c>
      <c r="Q20" s="1">
        <f>62.393162393*1.17</f>
        <v>72.999999999809987</v>
      </c>
      <c r="AB20">
        <v>600</v>
      </c>
      <c r="AC20">
        <f>71.367521368*1.17</f>
        <v>83.500000000559993</v>
      </c>
      <c r="AH20">
        <v>600</v>
      </c>
      <c r="AI20">
        <f>80.341880342*1.17</f>
        <v>94.000000000139991</v>
      </c>
    </row>
    <row r="21" spans="1:39">
      <c r="B21" s="14" t="s">
        <v>240</v>
      </c>
      <c r="M21">
        <v>360</v>
      </c>
      <c r="N21" s="45">
        <f>80.341880342*1.17</f>
        <v>94.000000000139991</v>
      </c>
      <c r="P21">
        <v>600</v>
      </c>
      <c r="Q21" s="1">
        <f>79.487179487*1.17</f>
        <v>92.999999999790006</v>
      </c>
      <c r="S21">
        <v>300</v>
      </c>
      <c r="T21" s="1">
        <f>80.341880342*1.17</f>
        <v>94.000000000139991</v>
      </c>
      <c r="AB21">
        <v>600</v>
      </c>
      <c r="AC21">
        <f>90.170940171*1.17</f>
        <v>105.50000000006999</v>
      </c>
      <c r="AE21">
        <v>600</v>
      </c>
      <c r="AF21">
        <f>93.162393162*1.17</f>
        <v>108.99999999953999</v>
      </c>
      <c r="AH21">
        <v>600</v>
      </c>
      <c r="AI21">
        <f>102.13675214*1.17</f>
        <v>119.5000000038</v>
      </c>
    </row>
    <row r="22" spans="1:39">
      <c r="B22" s="14" t="s">
        <v>223</v>
      </c>
    </row>
    <row r="23" spans="1:39" s="11" customFormat="1">
      <c r="A23" s="12" t="s">
        <v>0</v>
      </c>
      <c r="B23" s="15" t="s">
        <v>2</v>
      </c>
      <c r="C23" s="15" t="s">
        <v>2</v>
      </c>
      <c r="E23" s="21"/>
      <c r="F23" s="12"/>
      <c r="H23" s="21"/>
      <c r="I23" s="12"/>
      <c r="K23" s="21"/>
      <c r="L23" s="12"/>
      <c r="N23" s="49"/>
      <c r="O23" s="12"/>
      <c r="Q23" s="21"/>
      <c r="R23" s="12"/>
      <c r="T23" s="21"/>
      <c r="U23" s="12"/>
      <c r="X23" s="36"/>
      <c r="AA23" s="12"/>
      <c r="AD23" s="36"/>
      <c r="AG23" s="12"/>
      <c r="AJ23" s="12"/>
      <c r="AM23" s="12"/>
    </row>
    <row r="24" spans="1:39">
      <c r="B24" s="14" t="s">
        <v>3</v>
      </c>
      <c r="C24" s="14" t="s">
        <v>3</v>
      </c>
      <c r="U24" s="12"/>
    </row>
    <row r="25" spans="1:39">
      <c r="B25" s="14" t="s">
        <v>23</v>
      </c>
      <c r="C25" s="14" t="s">
        <v>23</v>
      </c>
      <c r="D25">
        <v>300</v>
      </c>
      <c r="E25" s="47">
        <f>23.931623932*1.17</f>
        <v>28.00000000044</v>
      </c>
      <c r="J25">
        <v>450</v>
      </c>
      <c r="K25" s="47">
        <f>23.931623932*1.17</f>
        <v>28.00000000044</v>
      </c>
      <c r="S25">
        <v>200</v>
      </c>
      <c r="T25" s="47">
        <f>23.931623932*1.17</f>
        <v>28.00000000044</v>
      </c>
      <c r="V25">
        <v>200</v>
      </c>
      <c r="W25" s="47">
        <f>23.931623932*1.17</f>
        <v>28.00000000044</v>
      </c>
      <c r="AB25">
        <v>200</v>
      </c>
      <c r="AC25" s="47">
        <f>23.931623932*1.17</f>
        <v>28.00000000044</v>
      </c>
      <c r="AE25">
        <v>250</v>
      </c>
      <c r="AF25" s="47">
        <f>23.931623932*1.17</f>
        <v>28.00000000044</v>
      </c>
      <c r="AK25">
        <v>250</v>
      </c>
      <c r="AL25" s="47">
        <f>23.931623932*1.17</f>
        <v>28.00000000044</v>
      </c>
    </row>
    <row r="26" spans="1:39">
      <c r="B26" s="14" t="s">
        <v>26</v>
      </c>
      <c r="C26" s="14" t="s">
        <v>26</v>
      </c>
      <c r="D26">
        <v>5</v>
      </c>
      <c r="E26" s="1">
        <f>72.64957265*1.17</f>
        <v>85.000000000499995</v>
      </c>
    </row>
    <row r="27" spans="1:39">
      <c r="B27" s="14" t="s">
        <v>27</v>
      </c>
      <c r="C27" s="14" t="s">
        <v>27</v>
      </c>
    </row>
    <row r="28" spans="1:39">
      <c r="B28" s="14" t="s">
        <v>28</v>
      </c>
      <c r="C28" s="14" t="s">
        <v>28</v>
      </c>
      <c r="D28">
        <v>120</v>
      </c>
      <c r="E28" s="47">
        <f>23.931623932*1.17</f>
        <v>28.00000000044</v>
      </c>
      <c r="J28">
        <v>171</v>
      </c>
      <c r="K28" s="47">
        <f>23.931623932*1.17</f>
        <v>28.00000000044</v>
      </c>
      <c r="S28">
        <v>75</v>
      </c>
      <c r="T28" s="47">
        <f>23.931623932*1.17</f>
        <v>28.00000000044</v>
      </c>
      <c r="V28">
        <v>75</v>
      </c>
      <c r="W28" s="47">
        <f>23.931623932*1.17</f>
        <v>28.00000000044</v>
      </c>
      <c r="AB28">
        <v>75</v>
      </c>
      <c r="AC28" s="47">
        <f>23.931623932*1.17</f>
        <v>28.00000000044</v>
      </c>
      <c r="AE28">
        <v>100</v>
      </c>
      <c r="AF28" s="47">
        <f>23.931623932*1.17</f>
        <v>28.00000000044</v>
      </c>
      <c r="AK28">
        <v>100</v>
      </c>
      <c r="AL28" s="47">
        <f>23.931623932*1.17</f>
        <v>28.00000000044</v>
      </c>
    </row>
    <row r="29" spans="1:39">
      <c r="B29" s="14" t="s">
        <v>196</v>
      </c>
      <c r="C29" s="14" t="s">
        <v>196</v>
      </c>
    </row>
    <row r="30" spans="1:39">
      <c r="B30" s="14" t="s">
        <v>197</v>
      </c>
      <c r="C30" s="14" t="s">
        <v>197</v>
      </c>
    </row>
    <row r="31" spans="1:39" s="6" customFormat="1">
      <c r="A31" s="8"/>
      <c r="B31" s="16"/>
      <c r="C31" s="16"/>
      <c r="D31" s="7"/>
      <c r="E31" s="22"/>
      <c r="F31" s="8"/>
      <c r="H31" s="22"/>
      <c r="I31" s="8"/>
      <c r="K31" s="22"/>
      <c r="L31" s="8"/>
      <c r="N31" s="51"/>
      <c r="O31" s="8"/>
      <c r="Q31" s="22"/>
      <c r="R31" s="8"/>
      <c r="T31" s="22"/>
      <c r="U31" s="8"/>
      <c r="X31" s="37"/>
      <c r="AA31" s="8"/>
      <c r="AD31" s="37"/>
      <c r="AG31" s="8"/>
      <c r="AJ31" s="8"/>
      <c r="AM31" s="8"/>
    </row>
    <row r="32" spans="1:39">
      <c r="A32" s="12" t="s">
        <v>7</v>
      </c>
      <c r="B32" s="14" t="s">
        <v>30</v>
      </c>
      <c r="C32" s="14" t="s">
        <v>30</v>
      </c>
      <c r="E32" s="1">
        <f>15.811965812*1.17</f>
        <v>18.50000000004</v>
      </c>
    </row>
    <row r="33" spans="1:39">
      <c r="B33" s="14" t="s">
        <v>10</v>
      </c>
      <c r="C33" s="14" t="s">
        <v>10</v>
      </c>
    </row>
    <row r="34" spans="1:39">
      <c r="B34" s="14" t="s">
        <v>25</v>
      </c>
      <c r="C34" s="14" t="s">
        <v>25</v>
      </c>
    </row>
    <row r="35" spans="1:39">
      <c r="B35" s="14" t="s">
        <v>12</v>
      </c>
      <c r="C35" s="14" t="s">
        <v>12</v>
      </c>
      <c r="J35">
        <v>250</v>
      </c>
      <c r="K35" s="1">
        <f>2.5641025641*1.17</f>
        <v>2.9999999999970002</v>
      </c>
      <c r="P35">
        <v>125</v>
      </c>
      <c r="Q35" s="1">
        <f>2.5641025641*1.17</f>
        <v>2.9999999999970002</v>
      </c>
      <c r="V35">
        <v>200</v>
      </c>
      <c r="W35" s="1">
        <f>2.5641025641*1.17</f>
        <v>2.9999999999970002</v>
      </c>
      <c r="Y35">
        <v>150</v>
      </c>
      <c r="Z35" s="1">
        <f>2.5641025641*1.17</f>
        <v>2.9999999999970002</v>
      </c>
      <c r="AB35">
        <v>400</v>
      </c>
      <c r="AC35" s="1">
        <f>2.5641025641*1.17</f>
        <v>2.9999999999970002</v>
      </c>
      <c r="AF35" s="1"/>
      <c r="AI35" s="1"/>
      <c r="AK35">
        <v>200</v>
      </c>
      <c r="AL35" s="1">
        <f>2.5641025641*1.17</f>
        <v>2.9999999999970002</v>
      </c>
    </row>
    <row r="36" spans="1:39">
      <c r="B36" s="14" t="s">
        <v>13</v>
      </c>
      <c r="C36" s="14" t="s">
        <v>13</v>
      </c>
    </row>
    <row r="37" spans="1:39">
      <c r="B37" s="14" t="s">
        <v>29</v>
      </c>
      <c r="C37" s="14" t="s">
        <v>29</v>
      </c>
      <c r="D37">
        <f>150+750</f>
        <v>900</v>
      </c>
      <c r="E37" t="s">
        <v>237</v>
      </c>
      <c r="G37">
        <v>420</v>
      </c>
      <c r="H37" s="1">
        <f>14.957264957*1.17</f>
        <v>17.499999999689997</v>
      </c>
      <c r="J37">
        <f>540+120</f>
        <v>660</v>
      </c>
      <c r="K37" t="s">
        <v>237</v>
      </c>
      <c r="M37">
        <f>1710+150</f>
        <v>1860</v>
      </c>
      <c r="N37" t="s">
        <v>237</v>
      </c>
      <c r="P37">
        <v>300</v>
      </c>
      <c r="Q37" s="1">
        <f>14.957264957*1.17</f>
        <v>17.499999999689997</v>
      </c>
      <c r="S37">
        <f>360+150</f>
        <v>510</v>
      </c>
      <c r="T37" t="s">
        <v>237</v>
      </c>
      <c r="V37">
        <f>1050+300+120</f>
        <v>1470</v>
      </c>
      <c r="W37" t="s">
        <v>237</v>
      </c>
      <c r="Y37">
        <f>210+600</f>
        <v>810</v>
      </c>
      <c r="Z37" t="s">
        <v>237</v>
      </c>
      <c r="AB37" s="9">
        <f>270+420</f>
        <v>690</v>
      </c>
      <c r="AC37" t="s">
        <v>237</v>
      </c>
      <c r="AE37" s="9">
        <v>960</v>
      </c>
      <c r="AF37" t="s">
        <v>237</v>
      </c>
      <c r="AH37">
        <f>1560+270</f>
        <v>1830</v>
      </c>
      <c r="AI37" t="s">
        <v>237</v>
      </c>
      <c r="AK37">
        <f>510+390</f>
        <v>900</v>
      </c>
      <c r="AL37" t="s">
        <v>237</v>
      </c>
    </row>
    <row r="38" spans="1:39">
      <c r="B38" s="14" t="s">
        <v>11</v>
      </c>
      <c r="C38" s="14" t="s">
        <v>11</v>
      </c>
      <c r="D38">
        <f>156+222</f>
        <v>378</v>
      </c>
      <c r="E38" t="s">
        <v>206</v>
      </c>
      <c r="G38">
        <f>150+132</f>
        <v>282</v>
      </c>
      <c r="H38" t="s">
        <v>206</v>
      </c>
      <c r="J38">
        <v>174</v>
      </c>
      <c r="K38" s="1">
        <f>14.957264957*1.17</f>
        <v>17.499999999689997</v>
      </c>
      <c r="M38">
        <v>150</v>
      </c>
      <c r="N38" s="1">
        <f>14.957264957*1.17</f>
        <v>17.499999999689997</v>
      </c>
      <c r="P38" s="9">
        <v>92</v>
      </c>
      <c r="Q38" s="1">
        <f>14.957264957*1.17</f>
        <v>17.499999999689997</v>
      </c>
      <c r="S38">
        <f>132+12</f>
        <v>144</v>
      </c>
      <c r="T38" t="s">
        <v>252</v>
      </c>
      <c r="V38" s="9">
        <f>336+42</f>
        <v>378</v>
      </c>
      <c r="W38" s="1">
        <f>14.957264957*1.17</f>
        <v>17.499999999689997</v>
      </c>
      <c r="Y38">
        <f>192+120</f>
        <v>312</v>
      </c>
      <c r="Z38" t="s">
        <v>207</v>
      </c>
      <c r="AB38">
        <f>150+36</f>
        <v>186</v>
      </c>
      <c r="AC38" t="s">
        <v>207</v>
      </c>
      <c r="AE38">
        <f>162+180</f>
        <v>342</v>
      </c>
      <c r="AF38" t="s">
        <v>207</v>
      </c>
      <c r="AH38" s="9">
        <f>420+120</f>
        <v>540</v>
      </c>
      <c r="AI38" t="s">
        <v>207</v>
      </c>
      <c r="AK38">
        <f>198+96</f>
        <v>294</v>
      </c>
      <c r="AL38" t="s">
        <v>207</v>
      </c>
    </row>
    <row r="39" spans="1:39">
      <c r="B39" s="14" t="s">
        <v>265</v>
      </c>
      <c r="E39"/>
      <c r="H39"/>
      <c r="N39" s="1"/>
      <c r="P39" s="9"/>
      <c r="T39"/>
      <c r="V39" s="9"/>
      <c r="W39" s="1"/>
      <c r="AH39" s="9">
        <v>120</v>
      </c>
      <c r="AI39">
        <f>14.52991453*1.17</f>
        <v>17.000000000099998</v>
      </c>
    </row>
    <row r="40" spans="1:39" s="11" customFormat="1">
      <c r="A40" s="12"/>
      <c r="B40" s="15" t="s">
        <v>9</v>
      </c>
      <c r="C40" s="15" t="s">
        <v>9</v>
      </c>
      <c r="E40" s="21"/>
      <c r="F40" s="12"/>
      <c r="H40" s="21"/>
      <c r="I40" s="12"/>
      <c r="K40" s="21"/>
      <c r="L40" s="12"/>
      <c r="N40" s="49"/>
      <c r="O40" s="12"/>
      <c r="Q40" s="21"/>
      <c r="R40" s="12"/>
      <c r="S40" s="11">
        <v>90</v>
      </c>
      <c r="T40" s="21">
        <f>15.384615385*1.17</f>
        <v>18.000000000449997</v>
      </c>
      <c r="U40" s="12"/>
      <c r="X40" s="36"/>
      <c r="AA40" s="12"/>
      <c r="AD40" s="36"/>
      <c r="AG40" s="12"/>
      <c r="AH40" s="11">
        <v>60</v>
      </c>
      <c r="AI40" s="21">
        <f>15.384615385*1.17</f>
        <v>18.000000000449997</v>
      </c>
      <c r="AJ40" s="12"/>
      <c r="AM40" s="12"/>
    </row>
    <row r="41" spans="1:39">
      <c r="B41" s="14" t="s">
        <v>18</v>
      </c>
      <c r="C41" s="14" t="s">
        <v>18</v>
      </c>
      <c r="D41">
        <v>200</v>
      </c>
      <c r="E41" s="1">
        <f>4.2735042735*1.17</f>
        <v>4.9999999999950004</v>
      </c>
      <c r="J41">
        <v>200</v>
      </c>
      <c r="K41" s="1">
        <f>4.2735042735*1.17</f>
        <v>4.9999999999950004</v>
      </c>
      <c r="P41">
        <v>200</v>
      </c>
      <c r="Q41" s="1">
        <f>4.2735042735*1.17</f>
        <v>4.9999999999950004</v>
      </c>
      <c r="S41">
        <v>240</v>
      </c>
      <c r="T41" s="1">
        <f>4.2735042735*1.17</f>
        <v>4.9999999999950004</v>
      </c>
      <c r="Y41">
        <v>80</v>
      </c>
      <c r="Z41">
        <f>4.2735042735*1.17</f>
        <v>4.9999999999950004</v>
      </c>
      <c r="AB41">
        <v>240</v>
      </c>
      <c r="AC41">
        <f>4.2735042735*1.17</f>
        <v>4.9999999999950004</v>
      </c>
      <c r="AH41">
        <v>200</v>
      </c>
      <c r="AI41">
        <f>4.2735042735*1.17</f>
        <v>4.9999999999950004</v>
      </c>
      <c r="AK41">
        <v>200</v>
      </c>
      <c r="AL41">
        <f>4.2735042735*1.17</f>
        <v>4.9999999999950004</v>
      </c>
    </row>
    <row r="42" spans="1:39">
      <c r="B42" s="14" t="s">
        <v>154</v>
      </c>
      <c r="C42" s="14" t="s">
        <v>154</v>
      </c>
      <c r="AH42">
        <v>5</v>
      </c>
      <c r="AI42">
        <f>38.461538462*1.17</f>
        <v>45.000000000539998</v>
      </c>
    </row>
    <row r="43" spans="1:39">
      <c r="B43" s="14" t="s">
        <v>257</v>
      </c>
      <c r="E43"/>
      <c r="K43"/>
      <c r="N43"/>
      <c r="T43"/>
      <c r="V43">
        <v>40</v>
      </c>
      <c r="W43" s="1">
        <f>21.367521368*1.17</f>
        <v>25.000000000559996</v>
      </c>
      <c r="AB43" s="9"/>
      <c r="AC43" s="9"/>
      <c r="AE43" s="9"/>
      <c r="AF43" s="1"/>
    </row>
    <row r="44" spans="1:39">
      <c r="B44" s="14" t="s">
        <v>14</v>
      </c>
      <c r="C44" s="14" t="s">
        <v>14</v>
      </c>
      <c r="D44">
        <v>36</v>
      </c>
      <c r="E44">
        <f>14.52991453*1.17</f>
        <v>17.000000000099998</v>
      </c>
      <c r="J44">
        <v>30</v>
      </c>
      <c r="K44">
        <f>14.52991453*1.17</f>
        <v>17.000000000099998</v>
      </c>
      <c r="M44">
        <v>30</v>
      </c>
      <c r="N44">
        <f>14.52991453*1.17</f>
        <v>17.000000000099998</v>
      </c>
      <c r="P44">
        <v>120</v>
      </c>
      <c r="Q44">
        <f>14.52991453*1.17</f>
        <v>17.000000000099998</v>
      </c>
      <c r="S44">
        <v>48</v>
      </c>
      <c r="T44">
        <f>14.52991453*1.17</f>
        <v>17.000000000099998</v>
      </c>
      <c r="V44">
        <v>72</v>
      </c>
      <c r="W44">
        <f>14.52991453*1.17</f>
        <v>17.000000000099998</v>
      </c>
      <c r="Y44">
        <v>50</v>
      </c>
      <c r="Z44">
        <f>14.52991453*1.17</f>
        <v>17.000000000099998</v>
      </c>
      <c r="AB44">
        <v>60</v>
      </c>
      <c r="AC44">
        <f>14.52991453*1.17</f>
        <v>17.000000000099998</v>
      </c>
      <c r="AE44">
        <v>144</v>
      </c>
      <c r="AF44">
        <f>14.52991453*1.17</f>
        <v>17.000000000099998</v>
      </c>
      <c r="AK44">
        <v>132</v>
      </c>
      <c r="AL44">
        <f>14.52991453*1.17</f>
        <v>17.000000000099998</v>
      </c>
    </row>
    <row r="45" spans="1:39">
      <c r="B45" s="14" t="s">
        <v>260</v>
      </c>
      <c r="Y45">
        <v>2</v>
      </c>
      <c r="Z45">
        <f>38.461538462*1.17</f>
        <v>45.000000000539998</v>
      </c>
    </row>
    <row r="46" spans="1:39">
      <c r="B46" s="14" t="s">
        <v>262</v>
      </c>
      <c r="AB46">
        <v>2</v>
      </c>
      <c r="AC46">
        <f>106.83760684*1.17</f>
        <v>125.00000000279999</v>
      </c>
    </row>
    <row r="47" spans="1:39" s="6" customFormat="1">
      <c r="A47" s="8"/>
      <c r="B47" s="16"/>
      <c r="C47" s="16"/>
      <c r="D47" s="7"/>
      <c r="E47" s="22"/>
      <c r="F47" s="8"/>
      <c r="H47" s="22"/>
      <c r="I47" s="8"/>
      <c r="K47" s="22"/>
      <c r="L47" s="8"/>
      <c r="N47" s="51"/>
      <c r="O47" s="8"/>
      <c r="Q47" s="22"/>
      <c r="R47" s="8"/>
      <c r="T47" s="22"/>
      <c r="U47" s="8"/>
      <c r="X47" s="37"/>
      <c r="AA47" s="8"/>
      <c r="AD47" s="37"/>
      <c r="AG47" s="8"/>
      <c r="AJ47" s="8"/>
      <c r="AM47" s="8"/>
    </row>
    <row r="49" spans="1:39" s="11" customFormat="1">
      <c r="A49" s="12" t="s">
        <v>210</v>
      </c>
      <c r="B49" s="20" t="s">
        <v>221</v>
      </c>
      <c r="C49" s="15">
        <v>164</v>
      </c>
      <c r="D49" s="11">
        <v>1</v>
      </c>
      <c r="E49" s="21">
        <v>15000</v>
      </c>
      <c r="F49" s="12"/>
      <c r="H49" s="21"/>
      <c r="I49" s="12"/>
      <c r="K49" s="21"/>
      <c r="L49" s="12"/>
      <c r="N49" s="49"/>
      <c r="O49" s="12"/>
      <c r="P49" s="11">
        <v>1</v>
      </c>
      <c r="Q49" s="21">
        <v>15000</v>
      </c>
      <c r="R49" s="12"/>
      <c r="T49" s="21"/>
      <c r="U49" s="12"/>
      <c r="X49" s="36"/>
      <c r="AA49" s="12"/>
      <c r="AB49" s="11">
        <v>1</v>
      </c>
      <c r="AC49" s="11">
        <v>15000</v>
      </c>
      <c r="AD49" s="36"/>
      <c r="AG49" s="12"/>
      <c r="AH49" s="11">
        <v>1</v>
      </c>
      <c r="AI49" s="11">
        <v>15500</v>
      </c>
      <c r="AJ49" s="12"/>
      <c r="AM49" s="12"/>
    </row>
    <row r="51" spans="1:39">
      <c r="F51" s="5">
        <f>SUM(F32:F47)</f>
        <v>0</v>
      </c>
    </row>
    <row r="52" spans="1:39" s="11" customFormat="1">
      <c r="A52" s="12" t="s">
        <v>40</v>
      </c>
      <c r="B52" s="15" t="s">
        <v>41</v>
      </c>
      <c r="C52" s="15" t="s">
        <v>42</v>
      </c>
      <c r="E52" s="21"/>
      <c r="F52" s="12"/>
      <c r="H52" s="21"/>
      <c r="I52" s="12"/>
      <c r="K52" s="21"/>
      <c r="L52" s="12"/>
      <c r="N52" s="49"/>
      <c r="O52" s="12"/>
      <c r="Q52" s="21"/>
      <c r="R52" s="12"/>
      <c r="T52" s="21"/>
      <c r="U52" s="12"/>
      <c r="X52" s="36"/>
      <c r="AA52" s="12"/>
      <c r="AD52" s="36"/>
      <c r="AG52" s="12"/>
      <c r="AJ52" s="12"/>
      <c r="AM52" s="12"/>
    </row>
    <row r="54" spans="1:39">
      <c r="A54" s="5" t="s">
        <v>232</v>
      </c>
      <c r="B54" s="14" t="s">
        <v>233</v>
      </c>
      <c r="C54" s="14" t="s">
        <v>234</v>
      </c>
      <c r="D54">
        <f>20+20</f>
        <v>40</v>
      </c>
      <c r="E54" s="1">
        <f>58.974358974*1.17</f>
        <v>68.999999999579998</v>
      </c>
    </row>
    <row r="55" spans="1:39">
      <c r="B55" s="14" t="s">
        <v>249</v>
      </c>
      <c r="P55">
        <v>10</v>
      </c>
      <c r="Q55" s="1">
        <f>59.829059829*1.17</f>
        <v>69.999999999929997</v>
      </c>
      <c r="S55">
        <f>10+20</f>
        <v>30</v>
      </c>
      <c r="T55" s="1">
        <f>59.829059829*1.17</f>
        <v>69.999999999929997</v>
      </c>
    </row>
    <row r="57" spans="1:39" s="11" customFormat="1">
      <c r="A57" s="12" t="s">
        <v>43</v>
      </c>
      <c r="B57" s="15" t="s">
        <v>44</v>
      </c>
      <c r="C57" s="15"/>
      <c r="E57" s="21"/>
      <c r="F57" s="12">
        <f>D57*E57</f>
        <v>0</v>
      </c>
      <c r="H57" s="21"/>
      <c r="I57" s="12">
        <f>G57*H57</f>
        <v>0</v>
      </c>
      <c r="K57" s="21"/>
      <c r="L57" s="12"/>
      <c r="N57" s="49"/>
      <c r="O57" s="12"/>
      <c r="Q57" s="21"/>
      <c r="R57" s="12"/>
      <c r="T57" s="21"/>
      <c r="U57" s="12"/>
      <c r="X57" s="36"/>
      <c r="AA57" s="12"/>
      <c r="AD57" s="36"/>
      <c r="AG57" s="12"/>
      <c r="AJ57" s="12"/>
      <c r="AM57" s="12"/>
    </row>
    <row r="58" spans="1:39">
      <c r="B58" s="14" t="s">
        <v>132</v>
      </c>
      <c r="D58">
        <v>52</v>
      </c>
      <c r="E58">
        <f>18.803418803*1.17</f>
        <v>21.999999999509999</v>
      </c>
      <c r="I58" s="5">
        <f>G58*H58</f>
        <v>0</v>
      </c>
      <c r="J58">
        <v>54</v>
      </c>
      <c r="K58">
        <f>18.803418803*1.17</f>
        <v>21.999999999509999</v>
      </c>
      <c r="U58" s="12"/>
      <c r="V58">
        <v>164</v>
      </c>
      <c r="W58">
        <f>17.948717949*1.17</f>
        <v>21.000000000329997</v>
      </c>
      <c r="AB58">
        <v>165</v>
      </c>
      <c r="AC58">
        <f>17.948717949*1.17</f>
        <v>21.000000000329997</v>
      </c>
      <c r="AE58">
        <v>216</v>
      </c>
      <c r="AF58">
        <f>17.948717949*1.17</f>
        <v>21.000000000329997</v>
      </c>
      <c r="AG58" s="12"/>
      <c r="AH58" s="9">
        <v>216</v>
      </c>
      <c r="AI58">
        <f>17.948717949*1.17</f>
        <v>21.000000000329997</v>
      </c>
      <c r="AJ58" s="12"/>
      <c r="AK58" s="9"/>
    </row>
    <row r="59" spans="1:39">
      <c r="B59" s="14" t="s">
        <v>45</v>
      </c>
      <c r="D59">
        <v>175</v>
      </c>
      <c r="E59" s="1">
        <f>17.094017094*1.17</f>
        <v>19.999999999980002</v>
      </c>
      <c r="I59" s="5">
        <f>G59*H59</f>
        <v>0</v>
      </c>
      <c r="J59">
        <v>200</v>
      </c>
      <c r="K59" s="1">
        <f>17.094017094*1.17</f>
        <v>19.999999999980002</v>
      </c>
      <c r="U59" s="12"/>
      <c r="V59">
        <v>250</v>
      </c>
      <c r="W59" s="1">
        <f>17.094017094*1.17</f>
        <v>19.999999999980002</v>
      </c>
      <c r="AB59">
        <v>475</v>
      </c>
      <c r="AC59" s="1">
        <f>17.094017094*1.17</f>
        <v>19.999999999980002</v>
      </c>
      <c r="AE59">
        <v>200</v>
      </c>
      <c r="AF59" s="1">
        <f>17.094017094*1.17</f>
        <v>19.999999999980002</v>
      </c>
      <c r="AG59" s="12"/>
      <c r="AH59">
        <v>250</v>
      </c>
      <c r="AI59" s="1">
        <f>17.094017094*1.17</f>
        <v>19.999999999980002</v>
      </c>
      <c r="AJ59" s="12"/>
      <c r="AL59" s="1"/>
    </row>
    <row r="60" spans="1:39">
      <c r="B60" s="14" t="s">
        <v>46</v>
      </c>
      <c r="D60">
        <v>250</v>
      </c>
      <c r="E60" s="1">
        <f>13.675213675*1.17</f>
        <v>15.999999999749999</v>
      </c>
      <c r="I60" s="5">
        <f>G60*H60</f>
        <v>0</v>
      </c>
      <c r="J60">
        <v>300</v>
      </c>
      <c r="K60" s="1">
        <f>12.820512821*1.17</f>
        <v>15.000000000569999</v>
      </c>
      <c r="U60" s="12"/>
      <c r="V60">
        <v>300</v>
      </c>
      <c r="W60" s="1">
        <f>12.820512821*1.17</f>
        <v>15.000000000569999</v>
      </c>
      <c r="AB60">
        <v>500</v>
      </c>
      <c r="AC60" s="1">
        <f>12.820512821*1.17</f>
        <v>15.000000000569999</v>
      </c>
      <c r="AE60">
        <v>200</v>
      </c>
      <c r="AF60" s="1">
        <f>12.820512821*1.17</f>
        <v>15.000000000569999</v>
      </c>
      <c r="AG60" s="12"/>
      <c r="AH60">
        <v>350</v>
      </c>
      <c r="AI60" s="1">
        <f>12.820512821*1.17</f>
        <v>15.000000000569999</v>
      </c>
      <c r="AJ60" s="12"/>
      <c r="AL60" s="1"/>
    </row>
    <row r="61" spans="1:39">
      <c r="B61" s="14" t="s">
        <v>133</v>
      </c>
      <c r="AB61">
        <v>286</v>
      </c>
      <c r="AC61">
        <f>16.239316239*1.17</f>
        <v>18.999999999629999</v>
      </c>
      <c r="AE61">
        <v>182</v>
      </c>
      <c r="AF61">
        <f>16.239316239*1.17</f>
        <v>18.999999999629999</v>
      </c>
      <c r="AG61" s="12"/>
      <c r="AH61">
        <v>78</v>
      </c>
      <c r="AI61">
        <f>16.239316239*1.17</f>
        <v>18.999999999629999</v>
      </c>
    </row>
    <row r="62" spans="1:39">
      <c r="B62" s="14" t="s">
        <v>188</v>
      </c>
      <c r="AG62" s="12"/>
    </row>
    <row r="63" spans="1:39">
      <c r="B63" s="14" t="s">
        <v>215</v>
      </c>
      <c r="AG63" s="12"/>
    </row>
    <row r="64" spans="1:39">
      <c r="B64" s="17" t="s">
        <v>235</v>
      </c>
      <c r="D64">
        <v>22</v>
      </c>
      <c r="E64">
        <f>25.641025641*1.17</f>
        <v>29.999999999969997</v>
      </c>
      <c r="I64" s="5">
        <f>G64*H64</f>
        <v>0</v>
      </c>
      <c r="J64">
        <v>24</v>
      </c>
      <c r="K64" s="1">
        <f>23.931623932*1.17</f>
        <v>28.00000000044</v>
      </c>
      <c r="V64">
        <v>25</v>
      </c>
      <c r="W64" s="1">
        <f>23.931623932*1.17</f>
        <v>28.00000000044</v>
      </c>
      <c r="AB64">
        <v>132</v>
      </c>
      <c r="AC64">
        <f>25.641025641*1.17</f>
        <v>29.999999999969997</v>
      </c>
      <c r="AG64" s="12"/>
    </row>
    <row r="65" spans="1:39">
      <c r="B65" s="14" t="s">
        <v>239</v>
      </c>
      <c r="D65">
        <v>150</v>
      </c>
      <c r="E65" s="1">
        <f>17.094017094*1.17</f>
        <v>19.999999999980002</v>
      </c>
      <c r="I65" s="5">
        <f>G65*H65</f>
        <v>0</v>
      </c>
      <c r="J65">
        <v>156</v>
      </c>
      <c r="K65" s="1">
        <f>16.239316239*1.17</f>
        <v>18.999999999629999</v>
      </c>
      <c r="AG65" s="12"/>
    </row>
    <row r="66" spans="1:39">
      <c r="B66" s="14" t="s">
        <v>199</v>
      </c>
    </row>
    <row r="67" spans="1:39" s="6" customFormat="1">
      <c r="A67" s="8"/>
      <c r="B67" s="16"/>
      <c r="C67" s="16"/>
      <c r="E67" s="22"/>
      <c r="F67" s="8"/>
      <c r="H67" s="22"/>
      <c r="I67" s="8"/>
      <c r="K67" s="22"/>
      <c r="L67" s="8"/>
      <c r="N67" s="51"/>
      <c r="O67" s="8"/>
      <c r="Q67" s="22"/>
      <c r="R67" s="8"/>
      <c r="T67" s="22"/>
      <c r="U67" s="8"/>
      <c r="X67" s="37"/>
      <c r="AA67" s="8"/>
      <c r="AD67" s="37"/>
      <c r="AG67" s="8"/>
      <c r="AJ67" s="8"/>
      <c r="AM67" s="8"/>
    </row>
    <row r="68" spans="1:39">
      <c r="F68" s="5">
        <f>SUM(F57:F67)</f>
        <v>0</v>
      </c>
      <c r="I68" s="5">
        <f>SUM(I57:I67)</f>
        <v>0</v>
      </c>
    </row>
    <row r="69" spans="1:39">
      <c r="A69" s="12" t="s">
        <v>222</v>
      </c>
      <c r="B69" s="19" t="s">
        <v>208</v>
      </c>
    </row>
    <row r="70" spans="1:39">
      <c r="B70" s="19" t="s">
        <v>209</v>
      </c>
      <c r="D70">
        <v>42000</v>
      </c>
      <c r="E70">
        <f>0.0169230769*1.17</f>
        <v>1.9799999972999999E-2</v>
      </c>
      <c r="J70">
        <v>42000</v>
      </c>
      <c r="K70">
        <f>0.0169230769*1.17</f>
        <v>1.9799999972999999E-2</v>
      </c>
      <c r="M70">
        <v>126000</v>
      </c>
      <c r="N70">
        <f>0.0169230769*1.17</f>
        <v>1.9799999972999999E-2</v>
      </c>
      <c r="R70" s="46"/>
      <c r="S70">
        <v>42000</v>
      </c>
      <c r="T70">
        <f>0.0169230769*1.17</f>
        <v>1.9799999972999999E-2</v>
      </c>
      <c r="AK70">
        <v>84000</v>
      </c>
      <c r="AL70">
        <f>0.0169230769*1.17</f>
        <v>1.9799999972999999E-2</v>
      </c>
    </row>
    <row r="71" spans="1:39">
      <c r="B71" s="19" t="s">
        <v>57</v>
      </c>
    </row>
    <row r="72" spans="1:39">
      <c r="B72" s="19" t="s">
        <v>58</v>
      </c>
      <c r="AK72">
        <v>112000</v>
      </c>
      <c r="AL72">
        <f>0.0269230769*1.17</f>
        <v>3.1499999972999994E-2</v>
      </c>
    </row>
    <row r="73" spans="1:39">
      <c r="B73" s="19" t="s">
        <v>226</v>
      </c>
      <c r="D73">
        <v>72000</v>
      </c>
      <c r="E73">
        <f>0.0269230769*1.17</f>
        <v>3.1499999972999994E-2</v>
      </c>
      <c r="G73">
        <v>72000</v>
      </c>
      <c r="H73">
        <f>0.0269230769*1.17</f>
        <v>3.1499999972999994E-2</v>
      </c>
      <c r="J73">
        <v>48000</v>
      </c>
      <c r="K73">
        <f>0.0269230769*1.17</f>
        <v>3.1499999972999994E-2</v>
      </c>
      <c r="M73">
        <v>72000</v>
      </c>
      <c r="N73">
        <f>0.0269230769*1.17</f>
        <v>3.1499999972999994E-2</v>
      </c>
      <c r="S73">
        <v>7200</v>
      </c>
      <c r="T73">
        <f>0.0269230769*1.17</f>
        <v>3.1499999972999994E-2</v>
      </c>
    </row>
    <row r="74" spans="1:39">
      <c r="B74" s="19" t="s">
        <v>201</v>
      </c>
      <c r="R74" s="46"/>
      <c r="AF74" s="1"/>
      <c r="AI74" s="1"/>
    </row>
    <row r="75" spans="1:39">
      <c r="B75" s="19" t="s">
        <v>60</v>
      </c>
    </row>
    <row r="76" spans="1:39">
      <c r="B76" s="19" t="s">
        <v>51</v>
      </c>
    </row>
    <row r="77" spans="1:39">
      <c r="B77" s="19" t="s">
        <v>251</v>
      </c>
      <c r="S77">
        <v>108000</v>
      </c>
      <c r="T77" s="1">
        <f>0.0299145299*1.17</f>
        <v>3.4999999982999998E-2</v>
      </c>
    </row>
    <row r="78" spans="1:39">
      <c r="B78" s="19" t="s">
        <v>63</v>
      </c>
    </row>
    <row r="79" spans="1:39">
      <c r="B79" s="19" t="s">
        <v>64</v>
      </c>
    </row>
    <row r="80" spans="1:39">
      <c r="B80" s="19" t="s">
        <v>167</v>
      </c>
    </row>
    <row r="81" spans="1:39">
      <c r="B81" s="19" t="s">
        <v>61</v>
      </c>
    </row>
    <row r="82" spans="1:39">
      <c r="B82" s="19" t="s">
        <v>227</v>
      </c>
      <c r="D82">
        <v>60000</v>
      </c>
      <c r="E82" s="1">
        <f>0.0418803419*1.17</f>
        <v>4.9000000023E-2</v>
      </c>
      <c r="G82">
        <v>89000</v>
      </c>
      <c r="H82" s="1">
        <f>0.0418803419*1.17</f>
        <v>4.9000000023E-2</v>
      </c>
      <c r="J82">
        <v>106000</v>
      </c>
      <c r="K82" s="1">
        <f>0.0418803419*1.17</f>
        <v>4.9000000023E-2</v>
      </c>
      <c r="M82">
        <v>100000</v>
      </c>
      <c r="N82" s="1">
        <f>0.0418803419*1.17</f>
        <v>4.9000000023E-2</v>
      </c>
      <c r="P82">
        <v>70000</v>
      </c>
      <c r="Q82" s="1">
        <f>0.0418803419*1.17</f>
        <v>4.9000000023E-2</v>
      </c>
      <c r="R82" s="46"/>
      <c r="S82">
        <v>90000</v>
      </c>
      <c r="T82" s="1">
        <f>0.0418803419*1.17</f>
        <v>4.9000000023E-2</v>
      </c>
      <c r="V82">
        <v>210000</v>
      </c>
      <c r="W82" s="1">
        <f>0.0418803419*1.17</f>
        <v>4.9000000023E-2</v>
      </c>
      <c r="Y82">
        <v>100000</v>
      </c>
      <c r="Z82" s="1">
        <f>0.0418803419*1.17</f>
        <v>4.9000000023E-2</v>
      </c>
      <c r="AB82">
        <v>200000</v>
      </c>
      <c r="AC82" s="1">
        <f>0.0418803419*1.17</f>
        <v>4.9000000023E-2</v>
      </c>
      <c r="AE82">
        <v>150000</v>
      </c>
      <c r="AF82" s="1">
        <f>0.0418803419*1.17</f>
        <v>4.9000000023E-2</v>
      </c>
      <c r="AH82">
        <v>100000</v>
      </c>
      <c r="AI82" s="1">
        <f>0.0418803419*1.17</f>
        <v>4.9000000023E-2</v>
      </c>
      <c r="AK82">
        <v>340000</v>
      </c>
      <c r="AL82" s="1">
        <f>0.0418803419*1.17</f>
        <v>4.9000000023E-2</v>
      </c>
    </row>
    <row r="83" spans="1:39">
      <c r="B83" s="19" t="s">
        <v>238</v>
      </c>
      <c r="F83" s="5">
        <f>D83*E83</f>
        <v>0</v>
      </c>
      <c r="G83">
        <v>150000</v>
      </c>
      <c r="H83" s="1">
        <f>0.0478632479*1.17</f>
        <v>5.6000000043000001E-2</v>
      </c>
      <c r="J83">
        <v>52500</v>
      </c>
      <c r="K83" s="1">
        <f>0.0478632479*1.17</f>
        <v>5.6000000043000001E-2</v>
      </c>
      <c r="M83">
        <v>52500</v>
      </c>
      <c r="N83" s="1">
        <f>0.0478632479*1.17</f>
        <v>5.6000000043000001E-2</v>
      </c>
    </row>
    <row r="84" spans="1:39">
      <c r="B84" s="19" t="s">
        <v>231</v>
      </c>
      <c r="D84">
        <v>18000</v>
      </c>
      <c r="E84" s="55">
        <f>0.0495726496*1.17</f>
        <v>5.8000000031999996E-2</v>
      </c>
      <c r="M84">
        <v>126000</v>
      </c>
      <c r="N84" s="55">
        <f>0.0495726496*1.17</f>
        <v>5.8000000031999996E-2</v>
      </c>
      <c r="R84" s="46"/>
      <c r="AF84" s="1"/>
      <c r="AH84">
        <v>54000</v>
      </c>
      <c r="AI84" s="1">
        <f>0.0495726496*1.17</f>
        <v>5.8000000031999996E-2</v>
      </c>
    </row>
    <row r="85" spans="1:39">
      <c r="B85" s="19" t="s">
        <v>230</v>
      </c>
      <c r="D85">
        <v>90000</v>
      </c>
      <c r="E85" s="45">
        <f>0.0299145299*1.17</f>
        <v>3.4999999982999998E-2</v>
      </c>
      <c r="Q85" s="45"/>
      <c r="R85" s="46"/>
      <c r="AF85" s="45"/>
      <c r="AH85">
        <v>54000</v>
      </c>
      <c r="AI85">
        <f>0.0299145299*1.17</f>
        <v>3.4999999982999998E-2</v>
      </c>
    </row>
    <row r="86" spans="1:39">
      <c r="B86" s="19" t="s">
        <v>229</v>
      </c>
      <c r="D86">
        <v>30000</v>
      </c>
      <c r="E86" s="1">
        <f>0.0478632479*1.17</f>
        <v>5.6000000043000001E-2</v>
      </c>
      <c r="R86" s="46"/>
    </row>
    <row r="87" spans="1:39">
      <c r="B87" s="19" t="s">
        <v>67</v>
      </c>
    </row>
    <row r="88" spans="1:39">
      <c r="B88" s="19" t="s">
        <v>49</v>
      </c>
    </row>
    <row r="89" spans="1:39">
      <c r="B89" s="19" t="s">
        <v>243</v>
      </c>
    </row>
    <row r="90" spans="1:39">
      <c r="B90" s="19" t="s">
        <v>50</v>
      </c>
      <c r="M90">
        <v>60000</v>
      </c>
      <c r="N90" s="45">
        <f>0.0358974359*1.17</f>
        <v>4.2000000002999999E-2</v>
      </c>
    </row>
    <row r="91" spans="1:39">
      <c r="B91" s="19" t="s">
        <v>52</v>
      </c>
    </row>
    <row r="92" spans="1:39">
      <c r="B92" s="19" t="s">
        <v>228</v>
      </c>
      <c r="D92">
        <v>45000</v>
      </c>
      <c r="E92">
        <f>0.0444444444*1.17</f>
        <v>5.1999999947999996E-2</v>
      </c>
      <c r="G92">
        <v>54000</v>
      </c>
      <c r="H92">
        <f>0.0444444444*1.17</f>
        <v>5.1999999947999996E-2</v>
      </c>
      <c r="P92">
        <v>54000</v>
      </c>
      <c r="Q92">
        <f>0.0444444444*1.17</f>
        <v>5.1999999947999996E-2</v>
      </c>
      <c r="V92">
        <v>45000</v>
      </c>
      <c r="W92">
        <f>0.0444444444*1.17</f>
        <v>5.1999999947999996E-2</v>
      </c>
      <c r="AB92">
        <v>45000</v>
      </c>
      <c r="AC92">
        <f>0.0444444444*1.17</f>
        <v>5.1999999947999996E-2</v>
      </c>
      <c r="AE92">
        <v>54000</v>
      </c>
      <c r="AF92">
        <f>0.0444444444*1.17</f>
        <v>5.1999999947999996E-2</v>
      </c>
      <c r="AH92">
        <v>63000</v>
      </c>
      <c r="AI92">
        <f>0.0444444444*1.17</f>
        <v>5.1999999947999996E-2</v>
      </c>
      <c r="AK92">
        <v>63000</v>
      </c>
      <c r="AL92">
        <f>0.0444444444*1.17</f>
        <v>5.1999999947999996E-2</v>
      </c>
    </row>
    <row r="93" spans="1:39">
      <c r="B93" s="19" t="s">
        <v>54</v>
      </c>
    </row>
    <row r="94" spans="1:39">
      <c r="B94" s="19" t="s">
        <v>195</v>
      </c>
    </row>
    <row r="95" spans="1:39">
      <c r="B95" s="19" t="s">
        <v>55</v>
      </c>
    </row>
    <row r="96" spans="1:39" s="11" customFormat="1">
      <c r="A96" s="12"/>
      <c r="B96" s="18" t="s">
        <v>48</v>
      </c>
      <c r="C96" s="15"/>
      <c r="E96" s="21"/>
      <c r="F96" s="12"/>
      <c r="H96" s="21"/>
      <c r="I96" s="12"/>
      <c r="K96" s="21"/>
      <c r="L96" s="12"/>
      <c r="N96" s="49"/>
      <c r="O96" s="12"/>
      <c r="Q96" s="21"/>
      <c r="R96" s="12"/>
      <c r="T96" s="21"/>
      <c r="U96" s="12"/>
      <c r="X96" s="36"/>
      <c r="AA96" s="12"/>
      <c r="AD96" s="36"/>
      <c r="AG96" s="12"/>
      <c r="AJ96" s="12"/>
      <c r="AM96" s="12"/>
    </row>
    <row r="97" spans="1:35">
      <c r="B97" s="19" t="s">
        <v>69</v>
      </c>
    </row>
    <row r="98" spans="1:35">
      <c r="B98" s="19" t="s">
        <v>70</v>
      </c>
    </row>
    <row r="101" spans="1:35">
      <c r="A101" s="5" t="s">
        <v>105</v>
      </c>
      <c r="B101" s="19" t="s">
        <v>85</v>
      </c>
    </row>
    <row r="102" spans="1:35">
      <c r="B102" s="19" t="s">
        <v>90</v>
      </c>
    </row>
    <row r="103" spans="1:35">
      <c r="B103" s="19" t="s">
        <v>241</v>
      </c>
      <c r="J103">
        <v>12</v>
      </c>
      <c r="K103" s="1">
        <f>0.011538461538*1.17</f>
        <v>1.349999999946E-2</v>
      </c>
      <c r="M103">
        <v>12</v>
      </c>
      <c r="N103" s="1">
        <f>0.011538461538*1.17</f>
        <v>1.349999999946E-2</v>
      </c>
      <c r="AB103">
        <v>12</v>
      </c>
      <c r="AC103" s="1">
        <f>0.011538461538*1.17</f>
        <v>1.349999999946E-2</v>
      </c>
      <c r="AH103">
        <v>24</v>
      </c>
      <c r="AI103" s="1">
        <f>0.011538461538*1.17</f>
        <v>1.349999999946E-2</v>
      </c>
    </row>
    <row r="104" spans="1:35">
      <c r="B104" s="19" t="s">
        <v>91</v>
      </c>
      <c r="V104">
        <v>12</v>
      </c>
      <c r="W104" s="1">
        <f>0.011538461538*1.17</f>
        <v>1.349999999946E-2</v>
      </c>
    </row>
    <row r="105" spans="1:35">
      <c r="B105" s="19" t="s">
        <v>93</v>
      </c>
      <c r="L105" s="12"/>
    </row>
    <row r="106" spans="1:35">
      <c r="B106" s="19" t="s">
        <v>247</v>
      </c>
      <c r="L106" s="12"/>
      <c r="P106">
        <v>5.6</v>
      </c>
      <c r="Q106">
        <f>0.021794871795*1.17</f>
        <v>2.550000000015E-2</v>
      </c>
    </row>
    <row r="107" spans="1:35">
      <c r="B107" s="19" t="s">
        <v>261</v>
      </c>
      <c r="D107">
        <v>190</v>
      </c>
      <c r="E107">
        <f>0.015213675214*1.17</f>
        <v>1.7800000000379998E-2</v>
      </c>
      <c r="J107">
        <v>37.5</v>
      </c>
      <c r="K107" s="1">
        <f>0.014786324786*1.17</f>
        <v>1.7299999999619998E-2</v>
      </c>
      <c r="L107" s="12"/>
      <c r="M107">
        <v>65</v>
      </c>
      <c r="N107" s="1">
        <f>0.014786324786*1.17</f>
        <v>1.7299999999619998E-2</v>
      </c>
      <c r="P107">
        <v>150</v>
      </c>
      <c r="Q107" s="1">
        <f>0.014786324786*1.17</f>
        <v>1.7299999999619998E-2</v>
      </c>
      <c r="S107">
        <v>20</v>
      </c>
      <c r="T107" s="1">
        <f>0.014786324786*1.17</f>
        <v>1.7299999999619998E-2</v>
      </c>
      <c r="V107">
        <v>20</v>
      </c>
      <c r="W107" s="1">
        <f>0.014786324786*1.17</f>
        <v>1.7299999999619998E-2</v>
      </c>
      <c r="Y107">
        <v>90</v>
      </c>
      <c r="Z107" s="1">
        <f>0.014786324786*1.17</f>
        <v>1.7299999999619998E-2</v>
      </c>
      <c r="AB107">
        <f>90+65+5+10</f>
        <v>170</v>
      </c>
      <c r="AC107" s="1">
        <f>0.014786324786*1.17</f>
        <v>1.7299999999619998E-2</v>
      </c>
      <c r="AE107">
        <f>5+30</f>
        <v>35</v>
      </c>
      <c r="AF107" s="1">
        <f>0.014786324786*1.17</f>
        <v>1.7299999999619998E-2</v>
      </c>
      <c r="AH107">
        <v>152.5</v>
      </c>
      <c r="AI107" s="1">
        <f>0.014786324786*1.17</f>
        <v>1.7299999999619998E-2</v>
      </c>
    </row>
    <row r="108" spans="1:35">
      <c r="B108" s="19" t="s">
        <v>92</v>
      </c>
    </row>
    <row r="109" spans="1:35">
      <c r="B109" s="19" t="s">
        <v>248</v>
      </c>
      <c r="G109">
        <v>50</v>
      </c>
      <c r="H109">
        <f>0.013931623932*1.17</f>
        <v>1.6300000000440001E-2</v>
      </c>
      <c r="P109">
        <v>50</v>
      </c>
      <c r="Q109" s="1">
        <f>0.013333333333*1.17</f>
        <v>1.5599999999609999E-2</v>
      </c>
      <c r="AB109">
        <v>50</v>
      </c>
      <c r="AC109" s="1">
        <f>0.013333333333*1.17</f>
        <v>1.5599999999609999E-2</v>
      </c>
      <c r="AH109">
        <v>100</v>
      </c>
      <c r="AI109" s="1">
        <f>0.013333333333*1.17</f>
        <v>1.5599999999609999E-2</v>
      </c>
    </row>
    <row r="110" spans="1:35">
      <c r="B110" s="19" t="s">
        <v>95</v>
      </c>
      <c r="L110" s="12"/>
    </row>
    <row r="111" spans="1:35">
      <c r="B111" s="19" t="s">
        <v>263</v>
      </c>
      <c r="J111">
        <v>3.4</v>
      </c>
      <c r="K111" s="1">
        <f>0.082735042735*1.17</f>
        <v>9.6799999999949995E-2</v>
      </c>
      <c r="L111" s="12"/>
      <c r="AE111">
        <v>2.4</v>
      </c>
      <c r="AF111" s="1">
        <f>0.082735042735*1.17</f>
        <v>9.6799999999949995E-2</v>
      </c>
    </row>
    <row r="112" spans="1:35">
      <c r="B112" s="19" t="s">
        <v>94</v>
      </c>
      <c r="D112">
        <v>2</v>
      </c>
      <c r="E112" s="1">
        <f>0.042735042735*1.17</f>
        <v>4.9999999999949994E-2</v>
      </c>
      <c r="L112" s="12"/>
    </row>
    <row r="113" spans="1:39">
      <c r="B113" s="19" t="s">
        <v>89</v>
      </c>
      <c r="L113" s="12"/>
    </row>
    <row r="114" spans="1:39">
      <c r="B114" s="19" t="s">
        <v>246</v>
      </c>
      <c r="L114" s="12"/>
      <c r="P114">
        <v>6</v>
      </c>
      <c r="Q114" s="47">
        <f>0.029487179487*1.17</f>
        <v>3.4499999999789997E-2</v>
      </c>
      <c r="S114">
        <v>10.5</v>
      </c>
      <c r="T114" s="1">
        <f>0.015037037037*1.17</f>
        <v>1.7593333333289999E-2</v>
      </c>
      <c r="AE114">
        <v>4.5</v>
      </c>
      <c r="AF114">
        <f>0.029487179487*1.17</f>
        <v>3.4499999999789997E-2</v>
      </c>
      <c r="AH114">
        <v>4.5</v>
      </c>
      <c r="AI114">
        <f>0.029487179487*1.17</f>
        <v>3.4499999999789997E-2</v>
      </c>
    </row>
    <row r="115" spans="1:39">
      <c r="B115" s="19" t="s">
        <v>236</v>
      </c>
      <c r="D115">
        <v>6</v>
      </c>
      <c r="E115">
        <f>0.031025641026*1.17</f>
        <v>3.6300000000419996E-2</v>
      </c>
      <c r="M115" s="5"/>
      <c r="N115" s="52"/>
      <c r="P115" s="5"/>
      <c r="Q115" s="27"/>
    </row>
    <row r="116" spans="1:39">
      <c r="B116" s="19" t="s">
        <v>83</v>
      </c>
      <c r="L116" s="12"/>
    </row>
    <row r="117" spans="1:39" s="11" customFormat="1">
      <c r="A117" s="12"/>
      <c r="B117" s="18" t="s">
        <v>97</v>
      </c>
      <c r="C117" s="15"/>
      <c r="E117" s="21"/>
      <c r="F117" s="12"/>
      <c r="H117" s="21"/>
      <c r="I117" s="12"/>
      <c r="K117" s="21"/>
      <c r="L117" s="12"/>
      <c r="N117" s="49"/>
      <c r="O117" s="12"/>
      <c r="Q117" s="21"/>
      <c r="R117" s="12"/>
      <c r="T117" s="21"/>
      <c r="U117" s="12"/>
      <c r="X117" s="36"/>
      <c r="AA117" s="12"/>
      <c r="AD117" s="36"/>
      <c r="AG117" s="12"/>
      <c r="AJ117" s="12"/>
      <c r="AM117" s="12"/>
    </row>
    <row r="118" spans="1:39">
      <c r="B118" s="19" t="s">
        <v>75</v>
      </c>
    </row>
    <row r="119" spans="1:39">
      <c r="B119" s="19" t="s">
        <v>102</v>
      </c>
    </row>
    <row r="120" spans="1:39">
      <c r="B120" s="19" t="s">
        <v>245</v>
      </c>
      <c r="D120" s="14">
        <v>30</v>
      </c>
      <c r="E120">
        <f>0.049487179487*1.17</f>
        <v>5.7899999999790001E-2</v>
      </c>
      <c r="M120">
        <v>60</v>
      </c>
      <c r="N120" s="45">
        <f>0.048547008547*1.17</f>
        <v>5.6799999999989997E-2</v>
      </c>
      <c r="P120">
        <v>15</v>
      </c>
      <c r="Q120" s="45">
        <f>0.048547008547*1.17</f>
        <v>5.6799999999989997E-2</v>
      </c>
      <c r="V120">
        <v>60</v>
      </c>
      <c r="W120" s="45">
        <f>0.048547008547*1.17</f>
        <v>5.6799999999989997E-2</v>
      </c>
      <c r="Y120">
        <v>15.6</v>
      </c>
      <c r="Z120" s="45">
        <f>0.048547008547*1.17</f>
        <v>5.6799999999989997E-2</v>
      </c>
      <c r="AH120">
        <v>60.6</v>
      </c>
      <c r="AI120" s="45">
        <f>0.048547008547*1.17</f>
        <v>5.6799999999989997E-2</v>
      </c>
    </row>
    <row r="121" spans="1:39">
      <c r="B121" s="19" t="s">
        <v>259</v>
      </c>
      <c r="G121">
        <v>3.6</v>
      </c>
      <c r="H121">
        <f>0.033076923077*1.17</f>
        <v>3.8700000000089996E-2</v>
      </c>
      <c r="Y121">
        <v>3.84</v>
      </c>
      <c r="Z121">
        <f>0.032051282051*1.17</f>
        <v>3.7499999999669999E-2</v>
      </c>
      <c r="AE121">
        <v>11.965</v>
      </c>
      <c r="AF121">
        <f>0.032051282051*1.17</f>
        <v>3.7499999999669999E-2</v>
      </c>
    </row>
    <row r="122" spans="1:39">
      <c r="B122" s="19" t="s">
        <v>74</v>
      </c>
    </row>
    <row r="123" spans="1:39">
      <c r="B123" s="19" t="s">
        <v>103</v>
      </c>
    </row>
    <row r="124" spans="1:39">
      <c r="B124" s="19" t="s">
        <v>104</v>
      </c>
    </row>
    <row r="125" spans="1:39">
      <c r="B125" s="19" t="s">
        <v>242</v>
      </c>
      <c r="G125">
        <v>2</v>
      </c>
      <c r="H125" s="1">
        <f>0.085299145299*1.17</f>
        <v>9.9799999999829997E-2</v>
      </c>
      <c r="M125">
        <v>2</v>
      </c>
      <c r="N125" s="1">
        <f>0.085299145299*1.17</f>
        <v>9.9799999999829997E-2</v>
      </c>
      <c r="AH125">
        <v>1</v>
      </c>
      <c r="AI125" s="1">
        <f>0.085299145299*1.17</f>
        <v>9.9799999999829997E-2</v>
      </c>
    </row>
    <row r="126" spans="1:39">
      <c r="B126" s="19" t="s">
        <v>258</v>
      </c>
    </row>
    <row r="127" spans="1:39">
      <c r="B127" s="19" t="s">
        <v>78</v>
      </c>
    </row>
    <row r="128" spans="1:39">
      <c r="B128" s="19" t="s">
        <v>77</v>
      </c>
    </row>
    <row r="129" spans="1:39">
      <c r="B129" s="19" t="s">
        <v>99</v>
      </c>
    </row>
    <row r="130" spans="1:39">
      <c r="B130" s="19" t="s">
        <v>98</v>
      </c>
      <c r="V130">
        <v>0.5</v>
      </c>
      <c r="W130">
        <f>0.45170940171*1.17</f>
        <v>0.52850000000069997</v>
      </c>
      <c r="AI130" s="1"/>
    </row>
    <row r="131" spans="1:39">
      <c r="B131" s="19" t="s">
        <v>86</v>
      </c>
    </row>
    <row r="132" spans="1:39">
      <c r="B132" s="19" t="s">
        <v>87</v>
      </c>
    </row>
    <row r="133" spans="1:39">
      <c r="B133" s="19" t="s">
        <v>79</v>
      </c>
    </row>
    <row r="134" spans="1:39">
      <c r="B134" s="19" t="s">
        <v>268</v>
      </c>
      <c r="Y134">
        <v>1</v>
      </c>
      <c r="Z134">
        <f>0.092136752137*1.17</f>
        <v>0.10780000000028998</v>
      </c>
    </row>
    <row r="135" spans="1:39">
      <c r="B135" s="19" t="s">
        <v>256</v>
      </c>
      <c r="V135">
        <v>0.2</v>
      </c>
      <c r="W135">
        <f>0.38461538462*1.17</f>
        <v>0.45000000000539997</v>
      </c>
      <c r="Y135">
        <v>0.32</v>
      </c>
      <c r="Z135">
        <f>0.38461538462*1.17</f>
        <v>0.45000000000539997</v>
      </c>
      <c r="AB135">
        <v>1.1200000000000001</v>
      </c>
      <c r="AC135">
        <f>0.38461538462*1.17</f>
        <v>0.45000000000539997</v>
      </c>
      <c r="AH135">
        <v>2</v>
      </c>
      <c r="AI135">
        <f>0.38461538462*1.17</f>
        <v>0.45000000000539997</v>
      </c>
    </row>
    <row r="136" spans="1:39" s="11" customFormat="1">
      <c r="A136" s="12" t="s">
        <v>106</v>
      </c>
      <c r="B136" s="18" t="s">
        <v>107</v>
      </c>
      <c r="C136" s="15"/>
      <c r="E136" s="21"/>
      <c r="F136" s="12"/>
      <c r="H136" s="21"/>
      <c r="I136" s="12"/>
      <c r="K136" s="21"/>
      <c r="L136" s="12"/>
      <c r="N136" s="49"/>
      <c r="O136" s="12"/>
      <c r="Q136" s="21"/>
      <c r="R136" s="12"/>
      <c r="T136" s="21"/>
      <c r="U136" s="12"/>
      <c r="X136" s="36"/>
      <c r="AA136" s="12"/>
      <c r="AD136" s="36"/>
      <c r="AG136" s="12"/>
      <c r="AJ136" s="12"/>
      <c r="AM136" s="12"/>
    </row>
    <row r="137" spans="1:39">
      <c r="B137" s="19" t="s">
        <v>108</v>
      </c>
      <c r="AD137" s="36"/>
    </row>
    <row r="138" spans="1:39">
      <c r="B138" s="19" t="s">
        <v>109</v>
      </c>
      <c r="AD138" s="36"/>
    </row>
    <row r="139" spans="1:39">
      <c r="B139" s="19" t="s">
        <v>110</v>
      </c>
      <c r="AD139" s="36"/>
    </row>
    <row r="140" spans="1:39">
      <c r="B140" s="19" t="s">
        <v>111</v>
      </c>
    </row>
    <row r="141" spans="1:39">
      <c r="B141" s="19" t="s">
        <v>191</v>
      </c>
      <c r="M141">
        <v>34.4</v>
      </c>
      <c r="N141" s="45">
        <f>28.205128205*1.17</f>
        <v>32.999999999849997</v>
      </c>
    </row>
    <row r="142" spans="1:39">
      <c r="B142" s="19" t="s">
        <v>168</v>
      </c>
      <c r="M142">
        <v>207.15</v>
      </c>
      <c r="N142" s="45">
        <f>28.205128205*1.17</f>
        <v>32.999999999849997</v>
      </c>
    </row>
    <row r="143" spans="1:39">
      <c r="B143" s="19" t="s">
        <v>169</v>
      </c>
      <c r="M143">
        <v>171.3</v>
      </c>
      <c r="N143" s="45">
        <f t="shared" ref="N143:N144" si="0">28.205128205*1.17</f>
        <v>32.999999999849997</v>
      </c>
    </row>
    <row r="144" spans="1:39">
      <c r="B144" s="19" t="s">
        <v>192</v>
      </c>
      <c r="M144">
        <v>221.1</v>
      </c>
      <c r="N144" s="45">
        <f t="shared" si="0"/>
        <v>32.999999999849997</v>
      </c>
    </row>
    <row r="145" spans="1:39">
      <c r="B145" s="19" t="s">
        <v>183</v>
      </c>
    </row>
    <row r="146" spans="1:39">
      <c r="B146" s="19" t="s">
        <v>112</v>
      </c>
    </row>
    <row r="147" spans="1:39">
      <c r="B147" s="19" t="s">
        <v>113</v>
      </c>
    </row>
    <row r="149" spans="1:39" s="11" customFormat="1">
      <c r="A149" s="12"/>
      <c r="B149" s="15"/>
      <c r="C149" s="15"/>
      <c r="E149" s="21"/>
      <c r="F149" s="12"/>
      <c r="H149" s="21"/>
      <c r="I149" s="12"/>
      <c r="K149" s="21"/>
      <c r="L149" s="12"/>
      <c r="N149" s="49"/>
      <c r="O149" s="12"/>
      <c r="Q149" s="21"/>
      <c r="R149" s="12"/>
      <c r="T149" s="21"/>
      <c r="U149" s="12"/>
      <c r="X149" s="36"/>
      <c r="AA149" s="12"/>
      <c r="AD149" s="36"/>
      <c r="AG149" s="12"/>
      <c r="AJ149" s="12"/>
      <c r="AM149" s="12"/>
    </row>
    <row r="151" spans="1:39" s="11" customFormat="1">
      <c r="A151" s="12" t="s">
        <v>120</v>
      </c>
      <c r="B151" s="15">
        <v>0.5</v>
      </c>
      <c r="C151" s="15">
        <v>0.5</v>
      </c>
      <c r="D151" s="11">
        <v>341.36</v>
      </c>
      <c r="E151" s="11">
        <f>21.367511*1.17</f>
        <v>24.999987869999998</v>
      </c>
      <c r="F151" s="12"/>
      <c r="H151" s="21"/>
      <c r="I151" s="12">
        <f>G151*H151</f>
        <v>0</v>
      </c>
      <c r="J151" s="11">
        <v>203.51</v>
      </c>
      <c r="K151" s="21">
        <f>20.5128*1.17</f>
        <v>23.999975999999997</v>
      </c>
      <c r="L151" s="12"/>
      <c r="M151" s="11">
        <v>163.83000000000001</v>
      </c>
      <c r="N151" s="21">
        <f>20.512849*1.17</f>
        <v>24.000033329999997</v>
      </c>
      <c r="O151" s="12"/>
      <c r="P151" s="11">
        <v>93.56</v>
      </c>
      <c r="Q151" s="21">
        <f>20.5128205128*1.17</f>
        <v>23.999999999976001</v>
      </c>
      <c r="R151" s="12"/>
      <c r="S151" s="11">
        <v>96.89</v>
      </c>
      <c r="T151" s="21">
        <f>20.5128205128*1.17</f>
        <v>23.999999999976001</v>
      </c>
      <c r="U151" s="12"/>
      <c r="V151" s="11">
        <v>195.28</v>
      </c>
      <c r="W151" s="21">
        <f t="shared" ref="W151:W153" si="1">20.5128205128*1.17</f>
        <v>23.999999999976001</v>
      </c>
      <c r="X151" s="36"/>
      <c r="Y151" s="11">
        <v>137.58000000000001</v>
      </c>
      <c r="Z151" s="21">
        <f t="shared" ref="Z151:Z153" si="2">20.5128205128*1.17</f>
        <v>23.999999999976001</v>
      </c>
      <c r="AA151" s="12"/>
      <c r="AB151" s="11">
        <v>117.61</v>
      </c>
      <c r="AC151" s="21">
        <f t="shared" ref="AC151" si="3">20.5128205128*1.17</f>
        <v>23.999999999976001</v>
      </c>
      <c r="AD151" s="36"/>
      <c r="AE151" s="11">
        <v>215.32</v>
      </c>
      <c r="AF151" s="21">
        <f t="shared" ref="AF151" si="4">20.5128205128*1.17</f>
        <v>23.999999999976001</v>
      </c>
      <c r="AG151" s="12"/>
      <c r="AH151" s="11">
        <v>141.61000000000001</v>
      </c>
      <c r="AI151" s="21">
        <f t="shared" ref="AI151:AI153" si="5">20.5128205128*1.17</f>
        <v>23.999999999976001</v>
      </c>
      <c r="AJ151" s="12"/>
      <c r="AK151" s="11">
        <f>194.7+119.14</f>
        <v>313.83999999999997</v>
      </c>
      <c r="AL151" s="11">
        <f>22.6495726495*1.17</f>
        <v>26.499999999915001</v>
      </c>
      <c r="AM151" s="12"/>
    </row>
    <row r="152" spans="1:39">
      <c r="B152" s="14">
        <v>0.6</v>
      </c>
      <c r="C152" s="14">
        <v>0.6</v>
      </c>
      <c r="D152">
        <v>139.78</v>
      </c>
      <c r="E152" s="11">
        <f>21.367511*1.17</f>
        <v>24.999987869999998</v>
      </c>
      <c r="I152" s="5">
        <f>G152*H152</f>
        <v>0</v>
      </c>
      <c r="J152">
        <v>98.16</v>
      </c>
      <c r="K152" s="21">
        <f>20.512836*1.17</f>
        <v>24.00001812</v>
      </c>
      <c r="M152" s="9">
        <v>56.87</v>
      </c>
      <c r="N152" s="21">
        <f>20.512748*1.17</f>
        <v>23.999915159999997</v>
      </c>
      <c r="O152" s="4"/>
      <c r="Q152" s="21"/>
      <c r="R152" s="12"/>
      <c r="T152" s="21"/>
      <c r="U152" s="12"/>
      <c r="V152">
        <v>97.38</v>
      </c>
      <c r="W152" s="21">
        <f t="shared" si="1"/>
        <v>23.999999999976001</v>
      </c>
      <c r="Y152">
        <v>58.77</v>
      </c>
      <c r="Z152" s="21">
        <f t="shared" si="2"/>
        <v>23.999999999976001</v>
      </c>
      <c r="AH152">
        <v>95.25</v>
      </c>
      <c r="AI152" s="21">
        <f t="shared" si="5"/>
        <v>23.999999999976001</v>
      </c>
      <c r="AK152">
        <f>191.2+56.55</f>
        <v>247.75</v>
      </c>
      <c r="AL152" s="11">
        <f t="shared" ref="AL152:AL153" si="6">22.6495726495*1.17</f>
        <v>26.499999999915001</v>
      </c>
    </row>
    <row r="153" spans="1:39">
      <c r="B153" s="14">
        <v>0.8</v>
      </c>
      <c r="C153" s="14">
        <v>0.8</v>
      </c>
      <c r="D153">
        <v>77.16</v>
      </c>
      <c r="E153" s="11">
        <f>21.367511*1.17</f>
        <v>24.999987869999998</v>
      </c>
      <c r="G153" s="9">
        <v>391.21</v>
      </c>
      <c r="H153" s="1">
        <f>21.367526*1.17</f>
        <v>25.000005420000001</v>
      </c>
      <c r="J153">
        <v>496.82</v>
      </c>
      <c r="K153" s="21">
        <f>20.512822*1.17</f>
        <v>24.000001739999998</v>
      </c>
      <c r="M153">
        <v>656.66</v>
      </c>
      <c r="N153" s="21">
        <f>20.512822*1.17</f>
        <v>24.000001739999998</v>
      </c>
      <c r="O153" s="4"/>
      <c r="P153">
        <v>495.32</v>
      </c>
      <c r="Q153" s="21">
        <f>20.5128205128*1.17</f>
        <v>23.999999999976001</v>
      </c>
      <c r="R153" s="12"/>
      <c r="S153" s="9">
        <v>299.69</v>
      </c>
      <c r="T153" s="21">
        <f>20.5128205128*1.17</f>
        <v>23.999999999976001</v>
      </c>
      <c r="U153" s="12"/>
      <c r="V153">
        <v>501.45</v>
      </c>
      <c r="W153" s="21">
        <f t="shared" si="1"/>
        <v>23.999999999976001</v>
      </c>
      <c r="Y153">
        <v>298.35000000000002</v>
      </c>
      <c r="Z153" s="21">
        <f t="shared" si="2"/>
        <v>23.999999999976001</v>
      </c>
      <c r="AB153">
        <v>496.35</v>
      </c>
      <c r="AC153" s="21">
        <f t="shared" ref="AC153" si="7">20.5128205128*1.17</f>
        <v>23.999999999976001</v>
      </c>
      <c r="AE153">
        <v>515.98</v>
      </c>
      <c r="AF153" s="21">
        <f t="shared" ref="AF153" si="8">20.5128205128*1.17</f>
        <v>23.999999999976001</v>
      </c>
      <c r="AH153">
        <v>493.6</v>
      </c>
      <c r="AI153" s="21">
        <f t="shared" si="5"/>
        <v>23.999999999976001</v>
      </c>
      <c r="AK153">
        <f>481.59+489.43</f>
        <v>971.02</v>
      </c>
      <c r="AL153" s="11">
        <f t="shared" si="6"/>
        <v>26.499999999915001</v>
      </c>
    </row>
    <row r="154" spans="1:39">
      <c r="B154" s="56" t="s">
        <v>266</v>
      </c>
      <c r="C154" s="14">
        <v>0.8</v>
      </c>
      <c r="V154">
        <v>60.95</v>
      </c>
      <c r="W154">
        <f>62.3931623931*1.17</f>
        <v>72.999999999926999</v>
      </c>
      <c r="Y154">
        <v>79.37</v>
      </c>
      <c r="Z154">
        <f>73.5042735042*1.17</f>
        <v>85.999999999913996</v>
      </c>
      <c r="AH154">
        <v>169.06</v>
      </c>
      <c r="AI154">
        <f>75.2136752136*1.17</f>
        <v>87.999999999911992</v>
      </c>
    </row>
    <row r="155" spans="1:39">
      <c r="B155" s="14">
        <v>1</v>
      </c>
      <c r="C155" s="14">
        <v>1</v>
      </c>
      <c r="Y155">
        <v>43.17</v>
      </c>
      <c r="Z155">
        <f>73.5042735042*1.17</f>
        <v>85.999999999913996</v>
      </c>
    </row>
    <row r="156" spans="1:39">
      <c r="B156" s="14">
        <v>0.5</v>
      </c>
      <c r="C156" s="14">
        <v>0.5</v>
      </c>
      <c r="M156">
        <v>62.14</v>
      </c>
      <c r="N156" s="45">
        <f>62.393145*1.17</f>
        <v>72.999979649999986</v>
      </c>
      <c r="P156" s="5"/>
      <c r="Q156" s="27"/>
    </row>
    <row r="157" spans="1:39">
      <c r="I157" s="5">
        <f>SUM(I151:I156)</f>
        <v>0</v>
      </c>
    </row>
    <row r="158" spans="1:39" s="11" customFormat="1">
      <c r="A158" s="12" t="s">
        <v>130</v>
      </c>
      <c r="B158" s="18" t="s">
        <v>122</v>
      </c>
      <c r="C158" s="15"/>
      <c r="E158" s="21"/>
      <c r="F158" s="12"/>
      <c r="H158" s="21"/>
      <c r="I158" s="12"/>
      <c r="K158" s="21"/>
      <c r="L158" s="12"/>
      <c r="N158" s="49"/>
      <c r="O158" s="12"/>
      <c r="Q158" s="21"/>
      <c r="R158" s="12"/>
      <c r="T158" s="21"/>
      <c r="U158" s="12"/>
      <c r="X158" s="36"/>
      <c r="AA158" s="12"/>
      <c r="AD158" s="36"/>
      <c r="AG158" s="12"/>
      <c r="AJ158" s="12"/>
      <c r="AM158" s="12"/>
    </row>
    <row r="159" spans="1:39">
      <c r="B159" s="19" t="s">
        <v>123</v>
      </c>
    </row>
    <row r="160" spans="1:39">
      <c r="B160" s="19" t="s">
        <v>124</v>
      </c>
      <c r="M160">
        <v>500</v>
      </c>
      <c r="N160" s="45">
        <f>0.6068376068*1.17</f>
        <v>0.70999999995599994</v>
      </c>
      <c r="V160">
        <v>500</v>
      </c>
      <c r="W160" s="45">
        <f>0.6068376068*1.17</f>
        <v>0.70999999995599994</v>
      </c>
      <c r="Y160">
        <v>500</v>
      </c>
      <c r="Z160" s="45">
        <f>0.6068376068*1.17</f>
        <v>0.70999999995599994</v>
      </c>
    </row>
    <row r="161" spans="2:35">
      <c r="B161" s="19" t="s">
        <v>125</v>
      </c>
      <c r="D161">
        <v>496</v>
      </c>
      <c r="E161" s="1">
        <f>1.0619469027*1.17</f>
        <v>1.2424778761589998</v>
      </c>
      <c r="G161">
        <v>500</v>
      </c>
      <c r="H161" s="1">
        <f>1.0256410256*1.17</f>
        <v>1.1999999999519999</v>
      </c>
      <c r="P161">
        <v>500</v>
      </c>
      <c r="Q161" s="1">
        <f>0.9743589744*1.17</f>
        <v>1.140000000048</v>
      </c>
      <c r="V161">
        <v>500</v>
      </c>
      <c r="W161" s="1">
        <f>0.9743589744*1.17</f>
        <v>1.140000000048</v>
      </c>
      <c r="Y161">
        <v>500</v>
      </c>
      <c r="Z161" s="1">
        <f>0.9743589744*1.17</f>
        <v>1.140000000048</v>
      </c>
      <c r="AB161">
        <v>500</v>
      </c>
      <c r="AC161" s="1">
        <f>0.9743589744*1.17</f>
        <v>1.140000000048</v>
      </c>
    </row>
    <row r="162" spans="2:35">
      <c r="B162" s="19" t="s">
        <v>126</v>
      </c>
    </row>
    <row r="163" spans="2:35">
      <c r="B163" s="19" t="s">
        <v>202</v>
      </c>
    </row>
    <row r="164" spans="2:35">
      <c r="B164" s="19" t="s">
        <v>184</v>
      </c>
      <c r="F164" s="5">
        <f>D164*E164</f>
        <v>0</v>
      </c>
      <c r="M164">
        <v>500</v>
      </c>
      <c r="N164" s="45">
        <f>0.9743589744*1.17</f>
        <v>1.140000000048</v>
      </c>
    </row>
    <row r="165" spans="2:35">
      <c r="B165" s="19" t="s">
        <v>244</v>
      </c>
      <c r="M165">
        <v>104</v>
      </c>
      <c r="N165" s="45">
        <f>1.3675213675*1.17</f>
        <v>1.5999999999749999</v>
      </c>
      <c r="V165">
        <v>100</v>
      </c>
      <c r="W165" s="45">
        <f>1.3675213675*1.17</f>
        <v>1.5999999999749999</v>
      </c>
    </row>
    <row r="166" spans="2:35">
      <c r="B166" s="19" t="s">
        <v>254</v>
      </c>
      <c r="V166">
        <v>100</v>
      </c>
      <c r="W166" s="45">
        <f>2.1367521368*1.17</f>
        <v>2.5000000000560001</v>
      </c>
    </row>
    <row r="167" spans="2:35">
      <c r="B167" s="19" t="s">
        <v>127</v>
      </c>
    </row>
    <row r="168" spans="2:35">
      <c r="B168" s="19" t="s">
        <v>131</v>
      </c>
    </row>
    <row r="169" spans="2:35">
      <c r="B169" s="19" t="s">
        <v>147</v>
      </c>
      <c r="D169">
        <v>800</v>
      </c>
      <c r="E169">
        <f>1.1965811966*1.17</f>
        <v>1.4000000000219999</v>
      </c>
      <c r="F169" s="5">
        <f>D169*E169</f>
        <v>1120.0000000175999</v>
      </c>
      <c r="G169">
        <v>800</v>
      </c>
      <c r="H169">
        <f>1.1965811966*1.17</f>
        <v>1.4000000000219999</v>
      </c>
      <c r="M169">
        <v>800</v>
      </c>
      <c r="N169" s="45">
        <f>1.1367521368*1.17</f>
        <v>1.3300000000559999</v>
      </c>
      <c r="P169">
        <v>1950</v>
      </c>
      <c r="Q169" s="45">
        <f>1.1367521368*1.17</f>
        <v>1.3300000000559999</v>
      </c>
      <c r="Y169">
        <v>800</v>
      </c>
      <c r="Z169" s="45">
        <f>1.1367521368*1.17</f>
        <v>1.3300000000559999</v>
      </c>
      <c r="AB169">
        <v>400</v>
      </c>
      <c r="AC169" s="45">
        <f>1.1367521368*1.17</f>
        <v>1.3300000000559999</v>
      </c>
      <c r="AE169">
        <v>1820</v>
      </c>
      <c r="AF169" s="45">
        <f>1.1367521368*1.17</f>
        <v>1.3300000000559999</v>
      </c>
      <c r="AH169">
        <v>1765</v>
      </c>
      <c r="AI169" s="45">
        <f>1.1367521368*1.17</f>
        <v>1.3300000000559999</v>
      </c>
    </row>
    <row r="170" spans="2:35">
      <c r="B170" s="19" t="s">
        <v>148</v>
      </c>
      <c r="P170">
        <v>240</v>
      </c>
      <c r="Q170" s="1">
        <f>1.1367521368*1.17</f>
        <v>1.3300000000559999</v>
      </c>
      <c r="AB170">
        <v>400</v>
      </c>
      <c r="AC170" s="45">
        <f>1.1367521368*1.17</f>
        <v>1.3300000000559999</v>
      </c>
    </row>
    <row r="171" spans="2:35">
      <c r="B171" s="19" t="s">
        <v>217</v>
      </c>
      <c r="M171">
        <v>400</v>
      </c>
      <c r="N171" s="45">
        <f>1.1367521368*1.17</f>
        <v>1.3300000000559999</v>
      </c>
    </row>
    <row r="172" spans="2:35">
      <c r="B172" s="19" t="s">
        <v>255</v>
      </c>
      <c r="V172">
        <v>100</v>
      </c>
      <c r="W172">
        <f>2.6495726496*1.17</f>
        <v>3.1000000000319998</v>
      </c>
    </row>
    <row r="173" spans="2:35">
      <c r="B173" s="19" t="s">
        <v>128</v>
      </c>
      <c r="D173">
        <v>540</v>
      </c>
      <c r="E173">
        <f>2.735042735*1.17</f>
        <v>3.1999999999499997</v>
      </c>
      <c r="F173" s="5">
        <f>D173*E173</f>
        <v>1727.9999999729998</v>
      </c>
      <c r="G173">
        <v>464</v>
      </c>
      <c r="H173">
        <f>2.735042735*1.17</f>
        <v>3.1999999999499997</v>
      </c>
      <c r="M173">
        <v>601</v>
      </c>
      <c r="N173" s="45">
        <f>2.5982905983*1.17</f>
        <v>3.0400000000110001</v>
      </c>
      <c r="P173">
        <v>498</v>
      </c>
      <c r="Q173" s="45">
        <f>2.5982905983*1.17</f>
        <v>3.0400000000110001</v>
      </c>
      <c r="V173">
        <v>500</v>
      </c>
      <c r="W173" s="45">
        <f>2.5982905983*1.17</f>
        <v>3.0400000000110001</v>
      </c>
      <c r="Y173">
        <v>500</v>
      </c>
      <c r="Z173" s="45">
        <f>2.5982905983*1.17</f>
        <v>3.0400000000110001</v>
      </c>
      <c r="AB173" s="9"/>
      <c r="AE173">
        <v>800</v>
      </c>
      <c r="AF173" s="45">
        <f>2.5982905983*1.17</f>
        <v>3.0400000000110001</v>
      </c>
      <c r="AH173">
        <v>202</v>
      </c>
      <c r="AI173" s="45">
        <f>2.5982905983*1.17</f>
        <v>3.0400000000110001</v>
      </c>
    </row>
    <row r="174" spans="2:35">
      <c r="B174" s="19" t="s">
        <v>129</v>
      </c>
      <c r="T174"/>
    </row>
    <row r="175" spans="2:35">
      <c r="B175" s="19" t="s">
        <v>253</v>
      </c>
      <c r="T175"/>
      <c r="V175">
        <v>100</v>
      </c>
      <c r="W175" s="45">
        <f>3.8974358974*1.17</f>
        <v>4.5599999999579994</v>
      </c>
      <c r="Y175">
        <v>100</v>
      </c>
      <c r="Z175" s="45">
        <f>3.8974358974*1.17</f>
        <v>4.5599999999579994</v>
      </c>
    </row>
    <row r="176" spans="2:35">
      <c r="B176" s="19" t="s">
        <v>145</v>
      </c>
      <c r="D176">
        <v>100</v>
      </c>
      <c r="E176">
        <f>4.1025641025*1.17</f>
        <v>4.7999999999249994</v>
      </c>
      <c r="F176" s="5">
        <f>D176*E176</f>
        <v>479.99999999249997</v>
      </c>
      <c r="G176">
        <v>100</v>
      </c>
      <c r="H176">
        <f>4.1025641025*1.17</f>
        <v>4.7999999999249994</v>
      </c>
      <c r="M176">
        <v>100</v>
      </c>
      <c r="N176" s="45">
        <f>3.8974358974*1.17</f>
        <v>4.5599999999579994</v>
      </c>
      <c r="P176">
        <v>120</v>
      </c>
      <c r="Q176" s="45">
        <f>3.8974358974*1.17</f>
        <v>4.5599999999579994</v>
      </c>
      <c r="T176"/>
      <c r="AB176">
        <v>60</v>
      </c>
      <c r="AC176" s="45">
        <f>3.8974358974*1.17</f>
        <v>4.5599999999579994</v>
      </c>
      <c r="AE176">
        <v>130</v>
      </c>
      <c r="AF176" s="45">
        <f>3.8974358974*1.17</f>
        <v>4.5599999999579994</v>
      </c>
      <c r="AH176">
        <v>271</v>
      </c>
      <c r="AI176" s="45">
        <f>3.8974358974*1.17</f>
        <v>4.5599999999579994</v>
      </c>
    </row>
    <row r="177" spans="1:39">
      <c r="B177" s="19" t="s">
        <v>160</v>
      </c>
    </row>
    <row r="178" spans="1:39">
      <c r="B178" s="19" t="s">
        <v>146</v>
      </c>
      <c r="D178">
        <v>20</v>
      </c>
      <c r="E178" s="1">
        <f>4.4444444444*1.17</f>
        <v>5.199999999948</v>
      </c>
      <c r="F178" s="5">
        <f>D178*E178</f>
        <v>103.99999999895999</v>
      </c>
      <c r="M178">
        <v>50</v>
      </c>
      <c r="N178" s="45">
        <f>4.22222222*1.17</f>
        <v>4.9399999973999993</v>
      </c>
      <c r="W178" s="39"/>
      <c r="AB178">
        <v>100</v>
      </c>
      <c r="AC178" s="45">
        <f>4.22222222*1.17</f>
        <v>4.9399999973999993</v>
      </c>
    </row>
    <row r="179" spans="1:39">
      <c r="B179" s="19"/>
    </row>
    <row r="180" spans="1:39">
      <c r="F180" s="26"/>
    </row>
    <row r="182" spans="1:39" s="11" customFormat="1">
      <c r="A182" s="12"/>
      <c r="B182" s="20"/>
      <c r="C182" s="15"/>
      <c r="E182" s="21"/>
      <c r="F182" s="12"/>
      <c r="H182" s="21"/>
      <c r="I182" s="12"/>
      <c r="K182" s="21"/>
      <c r="L182" s="12"/>
      <c r="N182" s="49"/>
      <c r="O182" s="12"/>
      <c r="Q182" s="21"/>
      <c r="R182" s="12"/>
      <c r="T182" s="21"/>
      <c r="U182" s="12"/>
      <c r="X182" s="36"/>
      <c r="AA182" s="12"/>
      <c r="AD182" s="36"/>
      <c r="AG182" s="12"/>
      <c r="AJ182" s="12"/>
      <c r="AM182" s="12"/>
    </row>
    <row r="183" spans="1:39" s="11" customFormat="1">
      <c r="A183" s="12" t="s">
        <v>138</v>
      </c>
      <c r="B183" s="18" t="s">
        <v>136</v>
      </c>
      <c r="C183" s="15"/>
      <c r="E183" s="21"/>
      <c r="F183" s="12"/>
      <c r="H183" s="21"/>
      <c r="I183" s="12"/>
      <c r="K183" s="21"/>
      <c r="L183" s="12"/>
      <c r="N183" s="49"/>
      <c r="O183" s="12"/>
      <c r="P183" s="11">
        <v>14700</v>
      </c>
      <c r="Q183" s="21">
        <f>0.4102564103*1.17</f>
        <v>0.48000000005099996</v>
      </c>
      <c r="R183" s="12"/>
      <c r="T183" s="21"/>
      <c r="U183" s="12"/>
      <c r="X183" s="36"/>
      <c r="Y183" s="11">
        <v>8820</v>
      </c>
      <c r="Z183" s="21">
        <f>0.4102564103*1.17</f>
        <v>0.48000000005099996</v>
      </c>
      <c r="AA183" s="12"/>
      <c r="AB183" s="11">
        <v>14700</v>
      </c>
      <c r="AC183" s="21">
        <f>0.4102564103*1.17</f>
        <v>0.48000000005099996</v>
      </c>
      <c r="AD183" s="36"/>
      <c r="AE183" s="11">
        <v>8820</v>
      </c>
      <c r="AF183" s="21">
        <f>0.4102564103*1.17</f>
        <v>0.48000000005099996</v>
      </c>
      <c r="AG183" s="12"/>
      <c r="AH183" s="11">
        <v>8820</v>
      </c>
      <c r="AI183" s="21">
        <f>0.4102564103*1.17</f>
        <v>0.48000000005099996</v>
      </c>
      <c r="AJ183" s="12"/>
      <c r="AK183" s="11">
        <v>11760</v>
      </c>
      <c r="AL183" s="21">
        <f>0.4102564103*1.17</f>
        <v>0.48000000005099996</v>
      </c>
      <c r="AM183" s="12"/>
    </row>
    <row r="184" spans="1:39" s="4" customFormat="1">
      <c r="A184" s="5"/>
      <c r="B184" s="18" t="s">
        <v>250</v>
      </c>
      <c r="C184" s="14"/>
      <c r="E184" s="25"/>
      <c r="F184" s="5"/>
      <c r="H184" s="25"/>
      <c r="I184" s="5"/>
      <c r="K184" s="25"/>
      <c r="L184" s="5"/>
      <c r="N184" s="53"/>
      <c r="O184" s="5"/>
      <c r="P184" s="4">
        <v>2040</v>
      </c>
      <c r="Q184" s="25">
        <f>0.5128205128*1.17</f>
        <v>0.59999999997599995</v>
      </c>
      <c r="R184" s="5"/>
      <c r="T184" s="25"/>
      <c r="U184" s="5"/>
      <c r="X184" s="35"/>
      <c r="AA184" s="5"/>
      <c r="AD184" s="35"/>
      <c r="AG184" s="5"/>
      <c r="AJ184" s="5"/>
      <c r="AK184" s="4">
        <v>1020</v>
      </c>
      <c r="AL184" s="4">
        <f>0.5128205128*1.17</f>
        <v>0.59999999997599995</v>
      </c>
      <c r="AM184" s="5"/>
    </row>
    <row r="185" spans="1:39">
      <c r="B185" s="19" t="s">
        <v>137</v>
      </c>
    </row>
    <row r="186" spans="1:39" s="42" customFormat="1">
      <c r="A186" s="40"/>
      <c r="B186" s="19" t="s">
        <v>177</v>
      </c>
      <c r="C186" s="41"/>
      <c r="E186" s="43"/>
      <c r="F186" s="40"/>
      <c r="H186" s="43"/>
      <c r="I186" s="40"/>
      <c r="K186" s="43"/>
      <c r="L186" s="40"/>
      <c r="N186" s="54"/>
      <c r="O186" s="40"/>
      <c r="Q186" s="43"/>
      <c r="R186" s="40"/>
      <c r="T186" s="43"/>
      <c r="U186" s="40"/>
      <c r="X186" s="44"/>
      <c r="AA186" s="40"/>
      <c r="AD186" s="44"/>
      <c r="AG186" s="40"/>
      <c r="AJ186" s="40"/>
      <c r="AM186" s="40"/>
    </row>
    <row r="188" spans="1:39" s="42" customFormat="1">
      <c r="A188" s="40"/>
      <c r="B188" s="41"/>
      <c r="C188" s="41"/>
      <c r="E188" s="43"/>
      <c r="F188" s="40"/>
      <c r="H188" s="43"/>
      <c r="I188" s="40"/>
      <c r="K188" s="43"/>
      <c r="L188" s="40"/>
      <c r="N188" s="54"/>
      <c r="O188" s="40"/>
      <c r="Q188" s="43"/>
      <c r="R188" s="40"/>
      <c r="T188" s="43"/>
      <c r="U188" s="40"/>
      <c r="X188" s="44"/>
      <c r="AA188" s="40"/>
      <c r="AD188" s="44"/>
      <c r="AG188" s="40"/>
      <c r="AJ188" s="40"/>
      <c r="AM188" s="40"/>
    </row>
  </sheetData>
  <mergeCells count="12">
    <mergeCell ref="AK1:AM1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177"/>
  <sheetViews>
    <sheetView tabSelected="1" workbookViewId="0">
      <pane xSplit="3" ySplit="2" topLeftCell="M99" activePane="bottomRight" state="frozen"/>
      <selection pane="topRight" activeCell="D1" sqref="D1"/>
      <selection pane="bottomLeft" activeCell="A4" sqref="A4"/>
      <selection pane="bottomRight" activeCell="V102" sqref="V102"/>
    </sheetView>
  </sheetViews>
  <sheetFormatPr defaultRowHeight="14.4"/>
  <cols>
    <col min="1" max="1" width="11" style="57" bestFit="1" customWidth="1"/>
    <col min="2" max="2" width="26.109375" style="58" bestFit="1" customWidth="1"/>
    <col min="3" max="3" width="11.6640625" style="58" customWidth="1"/>
    <col min="4" max="4" width="6.88671875" style="59" customWidth="1"/>
    <col min="5" max="5" width="13.5546875" style="60" customWidth="1"/>
    <col min="6" max="6" width="6.88671875" style="57" customWidth="1"/>
    <col min="7" max="7" width="6.88671875" style="59" customWidth="1"/>
    <col min="8" max="8" width="6.88671875" style="60" customWidth="1"/>
    <col min="9" max="9" width="6.88671875" style="57" customWidth="1"/>
    <col min="10" max="10" width="6.88671875" style="59" customWidth="1"/>
    <col min="11" max="11" width="6.88671875" style="60" customWidth="1"/>
    <col min="12" max="12" width="6.88671875" style="57" customWidth="1"/>
    <col min="13" max="13" width="6.88671875" style="59" customWidth="1"/>
    <col min="14" max="14" width="12" style="66" customWidth="1"/>
    <col min="15" max="15" width="6.88671875" style="57" customWidth="1"/>
    <col min="16" max="16" width="6.88671875" style="59" customWidth="1"/>
    <col min="17" max="17" width="6.88671875" style="60" customWidth="1"/>
    <col min="18" max="18" width="6.88671875" style="57" customWidth="1"/>
    <col min="19" max="19" width="6.88671875" style="59" customWidth="1"/>
    <col min="20" max="20" width="6.88671875" style="60" customWidth="1"/>
    <col min="21" max="21" width="6.88671875" style="57" customWidth="1"/>
    <col min="22" max="23" width="6.88671875" style="59" customWidth="1"/>
    <col min="24" max="24" width="6.88671875" style="65" customWidth="1"/>
    <col min="25" max="26" width="6.88671875" style="59" customWidth="1"/>
    <col min="27" max="27" width="6.88671875" style="57" customWidth="1"/>
    <col min="28" max="29" width="6.88671875" style="59" customWidth="1"/>
    <col min="30" max="30" width="6.88671875" style="65" customWidth="1"/>
    <col min="31" max="32" width="6.88671875" style="59" customWidth="1"/>
    <col min="33" max="33" width="6.88671875" style="57" customWidth="1"/>
    <col min="34" max="35" width="6.88671875" style="59" customWidth="1"/>
    <col min="36" max="36" width="6.88671875" style="57" customWidth="1"/>
    <col min="37" max="38" width="6.88671875" style="59" customWidth="1"/>
    <col min="39" max="39" width="6.88671875" style="57" customWidth="1"/>
    <col min="40" max="16384" width="8.88671875" style="59"/>
  </cols>
  <sheetData>
    <row r="1" spans="1:39">
      <c r="D1" s="116" t="s">
        <v>35</v>
      </c>
      <c r="E1" s="116"/>
      <c r="F1" s="116"/>
      <c r="G1" s="116" t="s">
        <v>36</v>
      </c>
      <c r="H1" s="116"/>
      <c r="I1" s="116"/>
      <c r="J1" s="116" t="s">
        <v>37</v>
      </c>
      <c r="K1" s="116"/>
      <c r="L1" s="116"/>
      <c r="M1" s="116" t="s">
        <v>139</v>
      </c>
      <c r="N1" s="116"/>
      <c r="O1" s="116"/>
      <c r="P1" s="117" t="s">
        <v>149</v>
      </c>
      <c r="Q1" s="117"/>
      <c r="R1" s="118"/>
      <c r="S1" s="119" t="s">
        <v>153</v>
      </c>
      <c r="T1" s="117"/>
      <c r="U1" s="118"/>
      <c r="V1" s="119" t="s">
        <v>156</v>
      </c>
      <c r="W1" s="117"/>
      <c r="X1" s="118"/>
      <c r="Y1" s="119" t="s">
        <v>162</v>
      </c>
      <c r="Z1" s="117"/>
      <c r="AA1" s="118"/>
      <c r="AB1" s="116" t="s">
        <v>166</v>
      </c>
      <c r="AC1" s="116"/>
      <c r="AD1" s="116"/>
      <c r="AE1" s="116" t="s">
        <v>170</v>
      </c>
      <c r="AF1" s="116"/>
      <c r="AG1" s="116"/>
      <c r="AH1" s="116" t="s">
        <v>178</v>
      </c>
      <c r="AI1" s="116"/>
      <c r="AJ1" s="116"/>
      <c r="AK1" s="116" t="s">
        <v>182</v>
      </c>
      <c r="AL1" s="116"/>
      <c r="AM1" s="116"/>
    </row>
    <row r="2" spans="1:39">
      <c r="C2" s="58" t="s">
        <v>32</v>
      </c>
      <c r="D2" s="59" t="s">
        <v>4</v>
      </c>
      <c r="E2" s="60" t="s">
        <v>33</v>
      </c>
      <c r="F2" s="57" t="s">
        <v>31</v>
      </c>
      <c r="G2" s="59" t="s">
        <v>4</v>
      </c>
      <c r="H2" s="60" t="s">
        <v>33</v>
      </c>
      <c r="I2" s="57" t="s">
        <v>31</v>
      </c>
      <c r="J2" s="59" t="s">
        <v>4</v>
      </c>
      <c r="K2" s="60" t="s">
        <v>33</v>
      </c>
      <c r="L2" s="57" t="s">
        <v>31</v>
      </c>
      <c r="M2" s="61" t="s">
        <v>4</v>
      </c>
      <c r="N2" s="62" t="s">
        <v>33</v>
      </c>
      <c r="O2" s="63" t="s">
        <v>31</v>
      </c>
      <c r="P2" s="61" t="s">
        <v>4</v>
      </c>
      <c r="Q2" s="64" t="s">
        <v>33</v>
      </c>
      <c r="R2" s="57" t="s">
        <v>31</v>
      </c>
      <c r="S2" s="61" t="s">
        <v>4</v>
      </c>
      <c r="T2" s="64" t="s">
        <v>33</v>
      </c>
      <c r="U2" s="57" t="s">
        <v>31</v>
      </c>
      <c r="V2" s="61" t="s">
        <v>4</v>
      </c>
      <c r="W2" s="61" t="s">
        <v>33</v>
      </c>
      <c r="X2" s="65" t="s">
        <v>31</v>
      </c>
      <c r="Y2" s="61" t="s">
        <v>4</v>
      </c>
      <c r="Z2" s="61" t="s">
        <v>33</v>
      </c>
      <c r="AA2" s="57" t="s">
        <v>31</v>
      </c>
      <c r="AB2" s="61" t="s">
        <v>4</v>
      </c>
      <c r="AC2" s="61" t="s">
        <v>33</v>
      </c>
      <c r="AD2" s="65" t="s">
        <v>31</v>
      </c>
      <c r="AE2" s="61" t="s">
        <v>4</v>
      </c>
      <c r="AF2" s="61" t="s">
        <v>33</v>
      </c>
      <c r="AG2" s="57" t="s">
        <v>31</v>
      </c>
      <c r="AH2" s="61" t="s">
        <v>4</v>
      </c>
      <c r="AI2" s="61" t="s">
        <v>33</v>
      </c>
      <c r="AJ2" s="57" t="s">
        <v>31</v>
      </c>
      <c r="AK2" s="61" t="s">
        <v>4</v>
      </c>
      <c r="AL2" s="61" t="s">
        <v>33</v>
      </c>
      <c r="AM2" s="63" t="s">
        <v>31</v>
      </c>
    </row>
    <row r="3" spans="1:39">
      <c r="D3" s="73"/>
      <c r="E3" s="74"/>
    </row>
    <row r="4" spans="1:39" s="69" customFormat="1">
      <c r="A4" s="67" t="s">
        <v>20</v>
      </c>
      <c r="B4" s="68" t="s">
        <v>212</v>
      </c>
      <c r="C4" s="68">
        <v>1.54</v>
      </c>
      <c r="E4" s="70"/>
      <c r="F4" s="67"/>
      <c r="H4" s="70"/>
      <c r="I4" s="67"/>
      <c r="K4" s="70"/>
      <c r="L4" s="67"/>
      <c r="N4" s="71"/>
      <c r="O4" s="67"/>
      <c r="Q4" s="70"/>
      <c r="R4" s="67"/>
      <c r="T4" s="70"/>
      <c r="U4" s="67"/>
      <c r="X4" s="72"/>
      <c r="AA4" s="67"/>
      <c r="AB4" s="59"/>
      <c r="AC4" s="59"/>
      <c r="AD4" s="72"/>
      <c r="AG4" s="67"/>
      <c r="AJ4" s="67"/>
      <c r="AM4" s="67"/>
    </row>
    <row r="5" spans="1:39">
      <c r="B5" s="58" t="s">
        <v>267</v>
      </c>
      <c r="C5" s="58">
        <v>1.54</v>
      </c>
      <c r="G5" s="59">
        <v>150</v>
      </c>
      <c r="H5" s="60">
        <f>107.69230769*1.17</f>
        <v>125.99999999729999</v>
      </c>
      <c r="AK5" s="59">
        <f>210+600</f>
        <v>810</v>
      </c>
      <c r="AL5" s="59">
        <f>104.27350427*1.17</f>
        <v>121.9999999959</v>
      </c>
    </row>
    <row r="6" spans="1:39">
      <c r="B6" s="58" t="s">
        <v>16</v>
      </c>
      <c r="C6" s="58">
        <v>1.54</v>
      </c>
    </row>
    <row r="7" spans="1:39">
      <c r="B7" s="58" t="s">
        <v>21</v>
      </c>
      <c r="C7" s="58">
        <v>1.6</v>
      </c>
      <c r="AK7" s="59">
        <v>600</v>
      </c>
      <c r="AL7" s="59">
        <f>86.324786352*1.17</f>
        <v>101.00000003184</v>
      </c>
    </row>
    <row r="8" spans="1:39">
      <c r="B8" s="58" t="s">
        <v>22</v>
      </c>
      <c r="C8" s="58">
        <v>1.6</v>
      </c>
    </row>
    <row r="9" spans="1:39" s="81" customFormat="1">
      <c r="A9" s="75"/>
      <c r="B9" s="76" t="s">
        <v>155</v>
      </c>
      <c r="C9" s="77">
        <v>1.54</v>
      </c>
      <c r="D9" s="78"/>
      <c r="E9" s="79"/>
      <c r="F9" s="80"/>
      <c r="H9" s="78"/>
      <c r="I9" s="80"/>
      <c r="K9" s="78"/>
      <c r="L9" s="80"/>
      <c r="N9" s="82"/>
      <c r="O9" s="80"/>
      <c r="Q9" s="78"/>
      <c r="R9" s="80"/>
      <c r="T9" s="78"/>
      <c r="U9" s="80"/>
      <c r="X9" s="83"/>
      <c r="AA9" s="80"/>
      <c r="AD9" s="83"/>
      <c r="AG9" s="80"/>
      <c r="AJ9" s="80"/>
      <c r="AM9" s="80"/>
    </row>
    <row r="10" spans="1:39">
      <c r="B10" s="58" t="s">
        <v>218</v>
      </c>
      <c r="C10" s="58">
        <v>1.54</v>
      </c>
      <c r="G10" s="59">
        <v>150</v>
      </c>
      <c r="H10" s="59">
        <f>65.384615385*1.17</f>
        <v>76.500000000450001</v>
      </c>
    </row>
    <row r="11" spans="1:39" s="86" customFormat="1">
      <c r="A11" s="84"/>
      <c r="B11" s="85" t="s">
        <v>264</v>
      </c>
      <c r="C11" s="85"/>
      <c r="E11" s="87"/>
      <c r="F11" s="84"/>
      <c r="H11" s="87"/>
      <c r="I11" s="84"/>
      <c r="K11" s="87"/>
      <c r="L11" s="84"/>
      <c r="N11" s="88"/>
      <c r="O11" s="84"/>
      <c r="Q11" s="87"/>
      <c r="R11" s="84"/>
      <c r="T11" s="87"/>
      <c r="U11" s="84"/>
      <c r="X11" s="89"/>
      <c r="AA11" s="84"/>
      <c r="AD11" s="89"/>
      <c r="AG11" s="84"/>
      <c r="AJ11" s="84"/>
      <c r="AK11" s="86">
        <v>20</v>
      </c>
      <c r="AL11" s="86">
        <f>137.60683761*1.17</f>
        <v>161.00000000369999</v>
      </c>
      <c r="AM11" s="84"/>
    </row>
    <row r="12" spans="1:39" s="86" customFormat="1">
      <c r="A12" s="84"/>
      <c r="B12" s="85"/>
      <c r="C12" s="85"/>
      <c r="E12" s="87"/>
      <c r="F12" s="84"/>
      <c r="H12" s="87"/>
      <c r="I12" s="84"/>
      <c r="K12" s="87"/>
      <c r="L12" s="84"/>
      <c r="N12" s="88"/>
      <c r="O12" s="84"/>
      <c r="Q12" s="87"/>
      <c r="R12" s="84"/>
      <c r="T12" s="87"/>
      <c r="U12" s="84"/>
      <c r="X12" s="89"/>
      <c r="AA12" s="84"/>
      <c r="AD12" s="89"/>
      <c r="AG12" s="84"/>
      <c r="AJ12" s="84"/>
      <c r="AM12" s="84"/>
    </row>
    <row r="13" spans="1:39">
      <c r="A13" s="57" t="s">
        <v>173</v>
      </c>
      <c r="B13" s="58" t="s">
        <v>216</v>
      </c>
      <c r="D13" s="59">
        <v>495</v>
      </c>
      <c r="E13" s="60">
        <f>84.615384615*1.17</f>
        <v>98.999999999549985</v>
      </c>
      <c r="AH13" s="59">
        <v>600</v>
      </c>
      <c r="AI13" s="59">
        <f>80.341880342*1.17</f>
        <v>94.000000000139991</v>
      </c>
    </row>
    <row r="14" spans="1:39">
      <c r="B14" s="58" t="s">
        <v>240</v>
      </c>
      <c r="D14" s="59">
        <f>150+345</f>
        <v>495</v>
      </c>
      <c r="E14" s="60">
        <f>106.83760684*1.17</f>
        <v>125.00000000279999</v>
      </c>
      <c r="AH14" s="59">
        <v>600</v>
      </c>
      <c r="AI14" s="59">
        <f>102.13675214*1.17</f>
        <v>119.5000000038</v>
      </c>
    </row>
    <row r="15" spans="1:39">
      <c r="B15" s="58" t="s">
        <v>223</v>
      </c>
    </row>
    <row r="17" spans="1:39" s="69" customFormat="1">
      <c r="A17" s="67" t="s">
        <v>120</v>
      </c>
      <c r="B17" s="68">
        <v>0.5</v>
      </c>
      <c r="C17" s="68">
        <v>0.5</v>
      </c>
      <c r="D17" s="69">
        <v>486.59</v>
      </c>
      <c r="E17" s="69">
        <f t="shared" ref="E17:E18" si="0">22.6495726495*1.17</f>
        <v>26.499999999915001</v>
      </c>
      <c r="F17" s="67"/>
      <c r="G17" s="69">
        <v>94.89</v>
      </c>
      <c r="H17" s="69">
        <f t="shared" ref="H17:H19" si="1">22.6495726495*1.17</f>
        <v>26.499999999915001</v>
      </c>
      <c r="I17" s="67"/>
      <c r="K17" s="70"/>
      <c r="L17" s="67"/>
      <c r="N17" s="70"/>
      <c r="O17" s="67"/>
      <c r="Q17" s="70"/>
      <c r="R17" s="67"/>
      <c r="T17" s="70"/>
      <c r="U17" s="67"/>
      <c r="W17" s="70"/>
      <c r="X17" s="72"/>
      <c r="Z17" s="70"/>
      <c r="AA17" s="67"/>
      <c r="AC17" s="70"/>
      <c r="AD17" s="72"/>
      <c r="AF17" s="70"/>
      <c r="AG17" s="67"/>
      <c r="AH17" s="69">
        <v>141.61000000000001</v>
      </c>
      <c r="AI17" s="70">
        <f t="shared" ref="AI17:AI19" si="2">20.5128205128*1.17</f>
        <v>23.999999999976001</v>
      </c>
      <c r="AJ17" s="67"/>
      <c r="AK17" s="69">
        <f>194.7+119.14</f>
        <v>313.83999999999997</v>
      </c>
      <c r="AL17" s="69">
        <f>22.6495726495*1.17</f>
        <v>26.499999999915001</v>
      </c>
      <c r="AM17" s="67"/>
    </row>
    <row r="18" spans="1:39">
      <c r="B18" s="58">
        <v>0.6</v>
      </c>
      <c r="C18" s="58">
        <v>0.6</v>
      </c>
      <c r="D18" s="59">
        <v>183.42</v>
      </c>
      <c r="E18" s="69">
        <f t="shared" si="0"/>
        <v>26.499999999915001</v>
      </c>
      <c r="G18" s="59">
        <v>116.55</v>
      </c>
      <c r="H18" s="69">
        <f t="shared" si="1"/>
        <v>26.499999999915001</v>
      </c>
      <c r="K18" s="70"/>
      <c r="M18" s="61"/>
      <c r="N18" s="70"/>
      <c r="O18" s="90"/>
      <c r="Q18" s="70"/>
      <c r="R18" s="67"/>
      <c r="T18" s="70"/>
      <c r="U18" s="67"/>
      <c r="W18" s="70"/>
      <c r="Z18" s="70"/>
      <c r="AH18" s="59">
        <v>95.25</v>
      </c>
      <c r="AI18" s="70">
        <f t="shared" si="2"/>
        <v>23.999999999976001</v>
      </c>
      <c r="AK18" s="59">
        <f>191.2+56.55</f>
        <v>247.75</v>
      </c>
      <c r="AL18" s="69">
        <f t="shared" ref="AL18:AL19" si="3">22.6495726495*1.17</f>
        <v>26.499999999915001</v>
      </c>
    </row>
    <row r="19" spans="1:39">
      <c r="B19" s="58">
        <v>0.8</v>
      </c>
      <c r="C19" s="58">
        <v>0.8</v>
      </c>
      <c r="E19" s="69"/>
      <c r="G19" s="61">
        <v>388.69</v>
      </c>
      <c r="H19" s="69">
        <f t="shared" si="1"/>
        <v>26.499999999915001</v>
      </c>
      <c r="K19" s="70"/>
      <c r="N19" s="70"/>
      <c r="O19" s="90"/>
      <c r="Q19" s="70"/>
      <c r="R19" s="67"/>
      <c r="S19" s="61"/>
      <c r="T19" s="70"/>
      <c r="U19" s="67"/>
      <c r="W19" s="70"/>
      <c r="Z19" s="70"/>
      <c r="AC19" s="70"/>
      <c r="AF19" s="70"/>
      <c r="AH19" s="59">
        <v>493.6</v>
      </c>
      <c r="AI19" s="70">
        <f t="shared" si="2"/>
        <v>23.999999999976001</v>
      </c>
      <c r="AK19" s="59">
        <f>481.59+489.43</f>
        <v>971.02</v>
      </c>
      <c r="AL19" s="69">
        <f t="shared" si="3"/>
        <v>26.499999999915001</v>
      </c>
    </row>
    <row r="20" spans="1:39">
      <c r="B20" s="91" t="s">
        <v>266</v>
      </c>
      <c r="C20" s="58">
        <v>0.8</v>
      </c>
      <c r="G20" s="59">
        <v>55.83</v>
      </c>
      <c r="H20" s="60">
        <f>75.2136752136*1.17</f>
        <v>87.999999999911992</v>
      </c>
      <c r="AH20" s="59">
        <v>169.06</v>
      </c>
      <c r="AI20" s="59">
        <f>75.2136752136*1.17</f>
        <v>87.999999999911992</v>
      </c>
    </row>
    <row r="21" spans="1:39">
      <c r="B21" s="58">
        <v>1</v>
      </c>
      <c r="C21" s="58">
        <v>1</v>
      </c>
    </row>
    <row r="22" spans="1:39">
      <c r="B22" s="58">
        <v>0.5</v>
      </c>
      <c r="C22" s="58">
        <v>0.5</v>
      </c>
      <c r="P22" s="57"/>
      <c r="Q22" s="92"/>
    </row>
    <row r="24" spans="1:39" s="69" customFormat="1">
      <c r="A24" s="67" t="s">
        <v>0</v>
      </c>
      <c r="B24" s="68" t="s">
        <v>2</v>
      </c>
      <c r="C24" s="68" t="s">
        <v>2</v>
      </c>
      <c r="E24" s="70"/>
      <c r="F24" s="67"/>
      <c r="H24" s="70"/>
      <c r="I24" s="67"/>
      <c r="K24" s="70"/>
      <c r="L24" s="67"/>
      <c r="N24" s="71"/>
      <c r="O24" s="67"/>
      <c r="Q24" s="70"/>
      <c r="R24" s="67"/>
      <c r="T24" s="70"/>
      <c r="U24" s="67"/>
      <c r="X24" s="72"/>
      <c r="AA24" s="67"/>
      <c r="AD24" s="72"/>
      <c r="AG24" s="67"/>
      <c r="AJ24" s="67"/>
      <c r="AM24" s="67"/>
    </row>
    <row r="25" spans="1:39">
      <c r="B25" s="58" t="s">
        <v>3</v>
      </c>
      <c r="C25" s="58" t="s">
        <v>3</v>
      </c>
      <c r="U25" s="67"/>
    </row>
    <row r="26" spans="1:39">
      <c r="B26" s="58" t="s">
        <v>23</v>
      </c>
      <c r="C26" s="58" t="s">
        <v>23</v>
      </c>
      <c r="D26" s="59">
        <v>400</v>
      </c>
      <c r="E26" s="93">
        <f>15.384615385*1.17</f>
        <v>18.000000000449997</v>
      </c>
      <c r="F26" s="57" t="s">
        <v>269</v>
      </c>
      <c r="K26" s="93"/>
      <c r="T26" s="93"/>
      <c r="W26" s="93"/>
      <c r="AC26" s="93"/>
      <c r="AF26" s="93"/>
      <c r="AK26" s="59">
        <v>250</v>
      </c>
      <c r="AL26" s="93">
        <f>23.931623932*1.17</f>
        <v>28.00000000044</v>
      </c>
    </row>
    <row r="27" spans="1:39">
      <c r="B27" s="58" t="s">
        <v>28</v>
      </c>
      <c r="C27" s="58" t="s">
        <v>28</v>
      </c>
      <c r="D27" s="59">
        <v>150</v>
      </c>
      <c r="E27" s="93">
        <f>15.384615385*1.17</f>
        <v>18.000000000449997</v>
      </c>
      <c r="F27" s="57" t="s">
        <v>269</v>
      </c>
      <c r="K27" s="93"/>
      <c r="T27" s="93"/>
      <c r="W27" s="93"/>
      <c r="AC27" s="93"/>
      <c r="AF27" s="93"/>
      <c r="AK27" s="59">
        <v>100</v>
      </c>
      <c r="AL27" s="93">
        <f>23.931623932*1.17</f>
        <v>28.00000000044</v>
      </c>
    </row>
    <row r="28" spans="1:39">
      <c r="B28" s="58" t="s">
        <v>26</v>
      </c>
      <c r="C28" s="58" t="s">
        <v>26</v>
      </c>
    </row>
    <row r="29" spans="1:39">
      <c r="B29" s="58" t="s">
        <v>27</v>
      </c>
      <c r="C29" s="58" t="s">
        <v>27</v>
      </c>
    </row>
    <row r="30" spans="1:39">
      <c r="B30" s="58" t="s">
        <v>196</v>
      </c>
      <c r="C30" s="58" t="s">
        <v>196</v>
      </c>
    </row>
    <row r="31" spans="1:39">
      <c r="B31" s="58" t="s">
        <v>197</v>
      </c>
      <c r="C31" s="58" t="s">
        <v>197</v>
      </c>
    </row>
    <row r="32" spans="1:39" s="86" customFormat="1">
      <c r="A32" s="84"/>
      <c r="B32" s="85"/>
      <c r="C32" s="85"/>
      <c r="D32" s="94"/>
      <c r="E32" s="87"/>
      <c r="F32" s="84"/>
      <c r="H32" s="87"/>
      <c r="I32" s="84"/>
      <c r="K32" s="87"/>
      <c r="L32" s="84"/>
      <c r="N32" s="88"/>
      <c r="O32" s="84"/>
      <c r="Q32" s="87"/>
      <c r="R32" s="84"/>
      <c r="T32" s="87"/>
      <c r="U32" s="84"/>
      <c r="X32" s="89"/>
      <c r="AA32" s="84"/>
      <c r="AD32" s="89"/>
      <c r="AG32" s="84"/>
      <c r="AJ32" s="84"/>
      <c r="AM32" s="84"/>
    </row>
    <row r="33" spans="1:39">
      <c r="A33" s="67" t="s">
        <v>7</v>
      </c>
      <c r="B33" s="58" t="s">
        <v>29</v>
      </c>
      <c r="C33" s="58" t="s">
        <v>29</v>
      </c>
      <c r="D33" s="59">
        <f>480+810+180</f>
        <v>1470</v>
      </c>
      <c r="E33" s="59">
        <f>14.957264957*1.17</f>
        <v>17.499999999689997</v>
      </c>
      <c r="G33" s="59">
        <f>150+300</f>
        <v>450</v>
      </c>
      <c r="H33" s="59" t="s">
        <v>237</v>
      </c>
      <c r="K33" s="59"/>
      <c r="N33" s="59"/>
      <c r="T33" s="59"/>
      <c r="AB33" s="61"/>
      <c r="AE33" s="61"/>
      <c r="AH33" s="59">
        <f>1560+270</f>
        <v>1830</v>
      </c>
      <c r="AI33" s="59" t="s">
        <v>237</v>
      </c>
      <c r="AK33" s="59">
        <f>510+390</f>
        <v>900</v>
      </c>
      <c r="AL33" s="59" t="s">
        <v>237</v>
      </c>
    </row>
    <row r="34" spans="1:39">
      <c r="B34" s="58" t="s">
        <v>11</v>
      </c>
      <c r="C34" s="58" t="s">
        <v>11</v>
      </c>
      <c r="D34" s="59">
        <f>156+330</f>
        <v>486</v>
      </c>
      <c r="E34" s="59">
        <f>14.957264957*1.17</f>
        <v>17.499999999689997</v>
      </c>
      <c r="G34" s="59">
        <v>102</v>
      </c>
      <c r="H34" s="59">
        <f>14.957264957*1.17</f>
        <v>17.499999999689997</v>
      </c>
      <c r="N34" s="60"/>
      <c r="P34" s="61"/>
      <c r="T34" s="59"/>
      <c r="V34" s="61"/>
      <c r="W34" s="60"/>
      <c r="AH34" s="61">
        <f>420+120</f>
        <v>540</v>
      </c>
      <c r="AI34" s="59" t="s">
        <v>207</v>
      </c>
      <c r="AK34" s="59">
        <f>198+96</f>
        <v>294</v>
      </c>
      <c r="AL34" s="59" t="s">
        <v>207</v>
      </c>
    </row>
    <row r="35" spans="1:39">
      <c r="B35" s="58" t="s">
        <v>18</v>
      </c>
      <c r="C35" s="58" t="s">
        <v>18</v>
      </c>
      <c r="D35" s="59">
        <v>160</v>
      </c>
      <c r="E35" s="60">
        <f>4.2735042735*1.17</f>
        <v>4.9999999999950004</v>
      </c>
      <c r="AH35" s="59">
        <v>200</v>
      </c>
      <c r="AI35" s="59">
        <f>4.2735042735*1.17</f>
        <v>4.9999999999950004</v>
      </c>
      <c r="AK35" s="59">
        <v>200</v>
      </c>
      <c r="AL35" s="59">
        <f>4.2735042735*1.17</f>
        <v>4.9999999999950004</v>
      </c>
    </row>
    <row r="36" spans="1:39">
      <c r="B36" s="58" t="s">
        <v>12</v>
      </c>
      <c r="C36" s="58" t="s">
        <v>12</v>
      </c>
      <c r="D36" s="59">
        <v>50</v>
      </c>
      <c r="E36" s="60">
        <f>2.5641025641*1.17</f>
        <v>2.9999999999970002</v>
      </c>
      <c r="W36" s="60"/>
      <c r="Z36" s="60"/>
      <c r="AC36" s="60"/>
      <c r="AF36" s="60"/>
      <c r="AI36" s="60"/>
      <c r="AK36" s="59">
        <v>200</v>
      </c>
      <c r="AL36" s="60">
        <f>2.5641025641*1.17</f>
        <v>2.9999999999970002</v>
      </c>
    </row>
    <row r="37" spans="1:39">
      <c r="B37" s="58" t="s">
        <v>14</v>
      </c>
      <c r="C37" s="58" t="s">
        <v>14</v>
      </c>
      <c r="D37" s="59">
        <v>48</v>
      </c>
      <c r="E37" s="59">
        <f>14.52991453*1.17</f>
        <v>17.000000000099998</v>
      </c>
      <c r="G37" s="59">
        <v>42</v>
      </c>
      <c r="H37" s="59">
        <f>14.52991453*1.17</f>
        <v>17.000000000099998</v>
      </c>
      <c r="K37" s="59"/>
      <c r="N37" s="59"/>
      <c r="Q37" s="59"/>
      <c r="T37" s="59"/>
      <c r="AK37" s="59">
        <v>132</v>
      </c>
      <c r="AL37" s="59">
        <f>14.52991453*1.17</f>
        <v>17.000000000099998</v>
      </c>
    </row>
    <row r="38" spans="1:39" s="69" customFormat="1">
      <c r="A38" s="67"/>
      <c r="B38" s="68" t="s">
        <v>9</v>
      </c>
      <c r="C38" s="68" t="s">
        <v>9</v>
      </c>
      <c r="D38" s="69">
        <v>30</v>
      </c>
      <c r="E38" s="70">
        <f>15.384615385*1.17</f>
        <v>18.000000000449997</v>
      </c>
      <c r="F38" s="67"/>
      <c r="H38" s="70"/>
      <c r="I38" s="67"/>
      <c r="K38" s="70"/>
      <c r="L38" s="67"/>
      <c r="N38" s="71"/>
      <c r="O38" s="67"/>
      <c r="Q38" s="70"/>
      <c r="R38" s="67"/>
      <c r="T38" s="70"/>
      <c r="U38" s="67"/>
      <c r="X38" s="72"/>
      <c r="AA38" s="67"/>
      <c r="AD38" s="72"/>
      <c r="AG38" s="67"/>
      <c r="AH38" s="69">
        <v>60</v>
      </c>
      <c r="AI38" s="70">
        <f>15.384615385*1.17</f>
        <v>18.000000000449997</v>
      </c>
      <c r="AJ38" s="67"/>
      <c r="AM38" s="67"/>
    </row>
    <row r="39" spans="1:39">
      <c r="B39" s="58" t="s">
        <v>154</v>
      </c>
      <c r="C39" s="58" t="s">
        <v>154</v>
      </c>
      <c r="AH39" s="59">
        <v>5</v>
      </c>
      <c r="AI39" s="59">
        <f>38.461538462*1.17</f>
        <v>45.000000000539998</v>
      </c>
    </row>
    <row r="40" spans="1:39">
      <c r="B40" s="58" t="s">
        <v>257</v>
      </c>
      <c r="E40" s="59"/>
      <c r="K40" s="59"/>
      <c r="N40" s="59"/>
      <c r="T40" s="59"/>
      <c r="W40" s="60"/>
      <c r="AB40" s="61"/>
      <c r="AC40" s="61"/>
      <c r="AE40" s="61"/>
      <c r="AF40" s="60"/>
    </row>
    <row r="41" spans="1:39">
      <c r="B41" s="58" t="s">
        <v>260</v>
      </c>
    </row>
    <row r="42" spans="1:39">
      <c r="B42" s="58" t="s">
        <v>262</v>
      </c>
    </row>
    <row r="43" spans="1:39" s="86" customFormat="1">
      <c r="A43" s="84"/>
      <c r="B43" s="85"/>
      <c r="C43" s="85"/>
      <c r="D43" s="94"/>
      <c r="E43" s="87"/>
      <c r="F43" s="84"/>
      <c r="H43" s="87"/>
      <c r="I43" s="84"/>
      <c r="K43" s="87"/>
      <c r="L43" s="84"/>
      <c r="N43" s="88"/>
      <c r="O43" s="84"/>
      <c r="Q43" s="87"/>
      <c r="R43" s="84"/>
      <c r="T43" s="87"/>
      <c r="U43" s="84"/>
      <c r="X43" s="89"/>
      <c r="AA43" s="84"/>
      <c r="AD43" s="89"/>
      <c r="AG43" s="84"/>
      <c r="AJ43" s="84"/>
      <c r="AM43" s="84"/>
    </row>
    <row r="45" spans="1:39" s="69" customFormat="1">
      <c r="A45" s="67" t="s">
        <v>210</v>
      </c>
      <c r="B45" s="95" t="s">
        <v>221</v>
      </c>
      <c r="C45" s="68">
        <v>164</v>
      </c>
      <c r="D45" s="69">
        <v>1</v>
      </c>
      <c r="E45" s="70">
        <v>17000</v>
      </c>
      <c r="F45" s="67"/>
      <c r="H45" s="70"/>
      <c r="I45" s="67"/>
      <c r="K45" s="70"/>
      <c r="L45" s="67"/>
      <c r="M45" s="69">
        <v>1</v>
      </c>
      <c r="N45" s="71">
        <v>16200</v>
      </c>
      <c r="O45" s="67"/>
      <c r="Q45" s="70"/>
      <c r="R45" s="67"/>
      <c r="T45" s="70"/>
      <c r="U45" s="67"/>
      <c r="X45" s="72"/>
      <c r="AA45" s="67"/>
      <c r="AD45" s="72"/>
      <c r="AG45" s="67"/>
      <c r="AH45" s="69">
        <v>1</v>
      </c>
      <c r="AI45" s="69">
        <v>15500</v>
      </c>
      <c r="AJ45" s="67"/>
      <c r="AM45" s="67"/>
    </row>
    <row r="48" spans="1:39" s="69" customFormat="1">
      <c r="A48" s="67" t="s">
        <v>40</v>
      </c>
      <c r="B48" s="68" t="s">
        <v>41</v>
      </c>
      <c r="C48" s="68" t="s">
        <v>42</v>
      </c>
      <c r="E48" s="70"/>
      <c r="F48" s="67"/>
      <c r="H48" s="70"/>
      <c r="I48" s="67"/>
      <c r="K48" s="70"/>
      <c r="L48" s="67"/>
      <c r="N48" s="71"/>
      <c r="O48" s="67"/>
      <c r="Q48" s="70"/>
      <c r="R48" s="67"/>
      <c r="T48" s="70"/>
      <c r="U48" s="67"/>
      <c r="X48" s="72"/>
      <c r="AA48" s="67"/>
      <c r="AD48" s="72"/>
      <c r="AG48" s="67"/>
      <c r="AJ48" s="67"/>
      <c r="AM48" s="67"/>
    </row>
    <row r="50" spans="1:39">
      <c r="A50" s="57" t="s">
        <v>232</v>
      </c>
      <c r="B50" s="58" t="s">
        <v>233</v>
      </c>
    </row>
    <row r="51" spans="1:39">
      <c r="B51" s="58" t="s">
        <v>249</v>
      </c>
      <c r="C51" s="58" t="s">
        <v>234</v>
      </c>
      <c r="D51" s="59">
        <v>20</v>
      </c>
      <c r="E51" s="60">
        <f>58.974358974</f>
        <v>58.974358973999998</v>
      </c>
    </row>
    <row r="53" spans="1:39">
      <c r="A53" s="57" t="s">
        <v>270</v>
      </c>
      <c r="B53" s="58" t="s">
        <v>271</v>
      </c>
      <c r="C53" s="58">
        <v>940</v>
      </c>
      <c r="D53" s="59">
        <v>100</v>
      </c>
      <c r="E53" s="60">
        <v>16.3</v>
      </c>
    </row>
    <row r="54" spans="1:39" s="69" customFormat="1">
      <c r="A54" s="67" t="s">
        <v>43</v>
      </c>
      <c r="B54" s="68" t="s">
        <v>44</v>
      </c>
      <c r="C54" s="68"/>
      <c r="D54" s="69">
        <v>54</v>
      </c>
      <c r="E54" s="70">
        <f>17.948717949*1.17</f>
        <v>21.000000000329997</v>
      </c>
      <c r="F54" s="67"/>
      <c r="H54" s="70"/>
      <c r="I54" s="67"/>
      <c r="K54" s="70"/>
      <c r="L54" s="67"/>
      <c r="N54" s="71"/>
      <c r="O54" s="67"/>
      <c r="Q54" s="70"/>
      <c r="R54" s="67"/>
      <c r="T54" s="70"/>
      <c r="U54" s="67"/>
      <c r="X54" s="72"/>
      <c r="AA54" s="67"/>
      <c r="AD54" s="72"/>
      <c r="AG54" s="67"/>
      <c r="AJ54" s="67"/>
      <c r="AM54" s="67"/>
    </row>
    <row r="55" spans="1:39">
      <c r="B55" s="58" t="s">
        <v>132</v>
      </c>
      <c r="E55" s="59"/>
      <c r="K55" s="59"/>
      <c r="U55" s="67"/>
      <c r="AG55" s="67"/>
      <c r="AH55" s="61">
        <v>216</v>
      </c>
      <c r="AI55" s="59">
        <f>17.948717949*1.17</f>
        <v>21.000000000329997</v>
      </c>
      <c r="AJ55" s="67"/>
      <c r="AK55" s="61"/>
    </row>
    <row r="56" spans="1:39">
      <c r="B56" s="58" t="s">
        <v>45</v>
      </c>
      <c r="D56" s="59">
        <v>200</v>
      </c>
      <c r="E56" s="60">
        <f>17.094017094*1.17</f>
        <v>19.999999999980002</v>
      </c>
      <c r="U56" s="67"/>
      <c r="W56" s="60"/>
      <c r="AC56" s="60"/>
      <c r="AF56" s="60"/>
      <c r="AG56" s="67"/>
      <c r="AH56" s="59">
        <v>250</v>
      </c>
      <c r="AI56" s="60">
        <f>17.094017094*1.17</f>
        <v>19.999999999980002</v>
      </c>
      <c r="AJ56" s="67"/>
      <c r="AL56" s="60"/>
    </row>
    <row r="57" spans="1:39">
      <c r="B57" s="58" t="s">
        <v>46</v>
      </c>
      <c r="D57" s="59">
        <v>175</v>
      </c>
      <c r="E57" s="60">
        <f>12.820512821*1.17</f>
        <v>15.000000000569999</v>
      </c>
      <c r="U57" s="67"/>
      <c r="W57" s="60"/>
      <c r="AC57" s="60"/>
      <c r="AF57" s="60"/>
      <c r="AG57" s="67"/>
      <c r="AH57" s="59">
        <v>350</v>
      </c>
      <c r="AI57" s="60">
        <f>12.820512821*1.17</f>
        <v>15.000000000569999</v>
      </c>
      <c r="AJ57" s="67"/>
      <c r="AL57" s="60"/>
    </row>
    <row r="58" spans="1:39">
      <c r="B58" s="58" t="s">
        <v>133</v>
      </c>
      <c r="AG58" s="67"/>
      <c r="AH58" s="59">
        <v>78</v>
      </c>
      <c r="AI58" s="59">
        <f>16.239316239*1.17</f>
        <v>18.999999999629999</v>
      </c>
    </row>
    <row r="59" spans="1:39">
      <c r="B59" s="58" t="s">
        <v>188</v>
      </c>
      <c r="AG59" s="67"/>
    </row>
    <row r="60" spans="1:39">
      <c r="B60" s="58" t="s">
        <v>215</v>
      </c>
      <c r="AG60" s="67"/>
    </row>
    <row r="61" spans="1:39">
      <c r="B61" s="96" t="s">
        <v>235</v>
      </c>
      <c r="E61" s="59"/>
      <c r="W61" s="60"/>
      <c r="AG61" s="67"/>
    </row>
    <row r="62" spans="1:39">
      <c r="B62" s="58" t="s">
        <v>239</v>
      </c>
      <c r="AG62" s="67"/>
    </row>
    <row r="63" spans="1:39">
      <c r="B63" s="58" t="s">
        <v>272</v>
      </c>
      <c r="D63" s="59">
        <v>125</v>
      </c>
      <c r="E63" s="60">
        <f>16.239316239*1.17</f>
        <v>18.999999999629999</v>
      </c>
    </row>
    <row r="64" spans="1:39" s="86" customFormat="1">
      <c r="A64" s="84"/>
      <c r="B64" s="85"/>
      <c r="C64" s="85"/>
      <c r="E64" s="87"/>
      <c r="F64" s="84"/>
      <c r="H64" s="87"/>
      <c r="I64" s="84"/>
      <c r="K64" s="87"/>
      <c r="L64" s="84"/>
      <c r="N64" s="88"/>
      <c r="O64" s="84"/>
      <c r="Q64" s="87"/>
      <c r="R64" s="84"/>
      <c r="T64" s="87"/>
      <c r="U64" s="84"/>
      <c r="X64" s="89"/>
      <c r="AA64" s="84"/>
      <c r="AD64" s="89"/>
      <c r="AG64" s="84"/>
      <c r="AJ64" s="84"/>
      <c r="AM64" s="84"/>
    </row>
    <row r="66" spans="1:38">
      <c r="A66" s="67" t="s">
        <v>222</v>
      </c>
      <c r="B66" s="97" t="s">
        <v>208</v>
      </c>
    </row>
    <row r="67" spans="1:38">
      <c r="B67" s="97" t="s">
        <v>209</v>
      </c>
      <c r="E67" s="59"/>
      <c r="K67" s="59"/>
      <c r="N67" s="59"/>
      <c r="R67" s="98"/>
      <c r="T67" s="59"/>
      <c r="AK67" s="59">
        <v>84000</v>
      </c>
      <c r="AL67" s="59">
        <f>0.0169230769*1.17</f>
        <v>1.9799999972999999E-2</v>
      </c>
    </row>
    <row r="68" spans="1:38">
      <c r="B68" s="97" t="s">
        <v>57</v>
      </c>
    </row>
    <row r="69" spans="1:38">
      <c r="B69" s="97" t="s">
        <v>58</v>
      </c>
      <c r="AK69" s="59">
        <v>112000</v>
      </c>
      <c r="AL69" s="59">
        <f>0.0269230769*1.17</f>
        <v>3.1499999972999994E-2</v>
      </c>
    </row>
    <row r="70" spans="1:38">
      <c r="B70" s="97" t="s">
        <v>201</v>
      </c>
      <c r="R70" s="98"/>
      <c r="AF70" s="60"/>
      <c r="AI70" s="60"/>
    </row>
    <row r="71" spans="1:38">
      <c r="B71" s="97" t="s">
        <v>60</v>
      </c>
      <c r="D71" s="59">
        <v>48000</v>
      </c>
      <c r="E71" s="60">
        <f>0.0269230769*1.17</f>
        <v>3.1499999972999994E-2</v>
      </c>
    </row>
    <row r="72" spans="1:38">
      <c r="B72" s="97" t="s">
        <v>51</v>
      </c>
    </row>
    <row r="73" spans="1:38">
      <c r="B73" s="97" t="s">
        <v>63</v>
      </c>
    </row>
    <row r="74" spans="1:38">
      <c r="B74" s="97" t="s">
        <v>167</v>
      </c>
    </row>
    <row r="75" spans="1:38">
      <c r="B75" s="97" t="s">
        <v>64</v>
      </c>
    </row>
    <row r="76" spans="1:38">
      <c r="B76" s="97" t="s">
        <v>61</v>
      </c>
    </row>
    <row r="77" spans="1:38">
      <c r="B77" s="97" t="s">
        <v>227</v>
      </c>
      <c r="G77" s="59">
        <v>50000</v>
      </c>
      <c r="H77" s="60">
        <f>0.0418803419*1.17</f>
        <v>4.9000000023E-2</v>
      </c>
      <c r="N77" s="60"/>
      <c r="R77" s="98"/>
      <c r="W77" s="60"/>
      <c r="Z77" s="60"/>
      <c r="AC77" s="60"/>
      <c r="AF77" s="60"/>
      <c r="AH77" s="59">
        <v>100000</v>
      </c>
      <c r="AI77" s="60">
        <f>0.0418803419*1.17</f>
        <v>4.9000000023E-2</v>
      </c>
      <c r="AK77" s="59">
        <v>340000</v>
      </c>
      <c r="AL77" s="60">
        <f>0.0418803419*1.17</f>
        <v>4.9000000023E-2</v>
      </c>
    </row>
    <row r="78" spans="1:38">
      <c r="B78" s="97" t="s">
        <v>238</v>
      </c>
      <c r="N78" s="60"/>
    </row>
    <row r="79" spans="1:38">
      <c r="B79" s="97" t="s">
        <v>231</v>
      </c>
      <c r="E79" s="99"/>
      <c r="G79" s="59">
        <v>54000</v>
      </c>
      <c r="H79" s="99">
        <f>0.0495726496*1.17</f>
        <v>5.8000000031999996E-2</v>
      </c>
      <c r="N79" s="99"/>
      <c r="R79" s="98"/>
      <c r="AF79" s="60"/>
      <c r="AH79" s="59">
        <v>54000</v>
      </c>
      <c r="AI79" s="60">
        <f>0.0495726496*1.17</f>
        <v>5.8000000031999996E-2</v>
      </c>
    </row>
    <row r="80" spans="1:38">
      <c r="B80" s="97" t="s">
        <v>273</v>
      </c>
      <c r="E80" s="99"/>
      <c r="G80" s="59">
        <v>30000</v>
      </c>
      <c r="H80" s="99">
        <f>0.052991453*1.17</f>
        <v>6.200000001E-2</v>
      </c>
      <c r="N80" s="99"/>
      <c r="R80" s="98"/>
      <c r="AF80" s="60"/>
      <c r="AI80" s="60"/>
    </row>
    <row r="81" spans="1:39">
      <c r="B81" s="97" t="s">
        <v>230</v>
      </c>
      <c r="E81" s="66"/>
      <c r="Q81" s="66"/>
      <c r="R81" s="98"/>
      <c r="AF81" s="66"/>
      <c r="AH81" s="59">
        <v>54000</v>
      </c>
      <c r="AI81" s="59">
        <f>0.0299145299*1.17</f>
        <v>3.4999999982999998E-2</v>
      </c>
    </row>
    <row r="82" spans="1:39">
      <c r="B82" s="97" t="s">
        <v>229</v>
      </c>
      <c r="R82" s="98"/>
    </row>
    <row r="83" spans="1:39">
      <c r="B83" s="97" t="s">
        <v>67</v>
      </c>
    </row>
    <row r="84" spans="1:39">
      <c r="B84" s="97" t="s">
        <v>50</v>
      </c>
    </row>
    <row r="85" spans="1:39">
      <c r="B85" s="97" t="s">
        <v>49</v>
      </c>
    </row>
    <row r="86" spans="1:39">
      <c r="B86" s="97" t="s">
        <v>243</v>
      </c>
    </row>
    <row r="87" spans="1:39">
      <c r="B87" s="97" t="s">
        <v>52</v>
      </c>
    </row>
    <row r="88" spans="1:39">
      <c r="B88" s="97" t="s">
        <v>228</v>
      </c>
      <c r="D88" s="59">
        <v>81000</v>
      </c>
      <c r="E88" s="59">
        <f>0.0444444444*1.17</f>
        <v>5.1999999947999996E-2</v>
      </c>
      <c r="H88" s="59"/>
      <c r="Q88" s="59"/>
      <c r="AH88" s="59">
        <v>63000</v>
      </c>
      <c r="AI88" s="59">
        <f>0.0444444444*1.17</f>
        <v>5.1999999947999996E-2</v>
      </c>
      <c r="AK88" s="59">
        <v>63000</v>
      </c>
      <c r="AL88" s="59">
        <f>0.0444444444*1.17</f>
        <v>5.1999999947999996E-2</v>
      </c>
    </row>
    <row r="89" spans="1:39">
      <c r="B89" s="97" t="s">
        <v>54</v>
      </c>
    </row>
    <row r="90" spans="1:39">
      <c r="B90" s="97" t="s">
        <v>195</v>
      </c>
    </row>
    <row r="91" spans="1:39">
      <c r="B91" s="97" t="s">
        <v>55</v>
      </c>
    </row>
    <row r="92" spans="1:39" s="69" customFormat="1">
      <c r="A92" s="67"/>
      <c r="B92" s="100" t="s">
        <v>48</v>
      </c>
      <c r="C92" s="68"/>
      <c r="E92" s="70"/>
      <c r="F92" s="67"/>
      <c r="H92" s="70"/>
      <c r="I92" s="67"/>
      <c r="K92" s="70"/>
      <c r="L92" s="67"/>
      <c r="N92" s="71"/>
      <c r="O92" s="67"/>
      <c r="Q92" s="70"/>
      <c r="R92" s="67"/>
      <c r="T92" s="70"/>
      <c r="U92" s="67"/>
      <c r="X92" s="72"/>
      <c r="AA92" s="67"/>
      <c r="AD92" s="72"/>
      <c r="AG92" s="67"/>
      <c r="AJ92" s="67"/>
      <c r="AM92" s="67"/>
    </row>
    <row r="93" spans="1:39">
      <c r="B93" s="97" t="s">
        <v>69</v>
      </c>
    </row>
    <row r="94" spans="1:39">
      <c r="B94" s="97" t="s">
        <v>70</v>
      </c>
    </row>
    <row r="97" spans="1:35">
      <c r="A97" s="57" t="s">
        <v>105</v>
      </c>
      <c r="B97" s="97" t="s">
        <v>85</v>
      </c>
    </row>
    <row r="98" spans="1:35">
      <c r="B98" s="97" t="s">
        <v>90</v>
      </c>
    </row>
    <row r="99" spans="1:35">
      <c r="B99" s="97" t="s">
        <v>241</v>
      </c>
      <c r="J99" s="59">
        <v>24</v>
      </c>
      <c r="K99" s="60">
        <v>1.35E-2</v>
      </c>
      <c r="M99" s="59">
        <v>24</v>
      </c>
      <c r="N99" s="60">
        <v>1.35E-2</v>
      </c>
      <c r="AC99" s="60"/>
      <c r="AH99" s="59">
        <v>24</v>
      </c>
      <c r="AI99" s="60">
        <f>0.011538461538*1.17</f>
        <v>1.349999999946E-2</v>
      </c>
    </row>
    <row r="100" spans="1:35">
      <c r="B100" s="97" t="s">
        <v>91</v>
      </c>
      <c r="W100" s="60"/>
    </row>
    <row r="101" spans="1:35">
      <c r="B101" s="97" t="s">
        <v>93</v>
      </c>
      <c r="L101" s="67"/>
    </row>
    <row r="102" spans="1:35">
      <c r="B102" s="97" t="s">
        <v>247</v>
      </c>
      <c r="L102" s="67"/>
      <c r="Q102" s="59"/>
      <c r="S102" s="59">
        <f>2.8+2.8</f>
        <v>5.6</v>
      </c>
      <c r="T102" s="60">
        <v>2.5100000000000001E-2</v>
      </c>
      <c r="V102" s="59">
        <v>5.6</v>
      </c>
      <c r="W102" s="59">
        <v>2.5100000000000001E-2</v>
      </c>
    </row>
    <row r="103" spans="1:35">
      <c r="B103" s="97" t="s">
        <v>261</v>
      </c>
      <c r="D103" s="59">
        <f>60+10</f>
        <v>70</v>
      </c>
      <c r="E103" s="60">
        <f>0.014786324786*1.17</f>
        <v>1.7299999999619998E-2</v>
      </c>
      <c r="G103" s="59">
        <v>40</v>
      </c>
      <c r="H103" s="60">
        <v>1.7299999999999999E-2</v>
      </c>
      <c r="J103" s="59">
        <f>52.5+20+50+15</f>
        <v>137.5</v>
      </c>
      <c r="K103" s="60">
        <v>1.7299999999999999E-2</v>
      </c>
      <c r="L103" s="67"/>
      <c r="M103" s="59">
        <f>7.5+15+15+30</f>
        <v>67.5</v>
      </c>
      <c r="N103" s="60">
        <v>1.7299999999999999E-2</v>
      </c>
      <c r="S103" s="59">
        <f>15+15+20+7.5+10+10+15</f>
        <v>92.5</v>
      </c>
      <c r="T103" s="60">
        <v>1.7299999999999999E-2</v>
      </c>
      <c r="V103" s="59">
        <v>55</v>
      </c>
      <c r="W103" s="60">
        <v>1.7299999999999999E-2</v>
      </c>
      <c r="Z103" s="60"/>
      <c r="AC103" s="60"/>
      <c r="AF103" s="60"/>
      <c r="AH103" s="59">
        <v>152.5</v>
      </c>
      <c r="AI103" s="60">
        <f>0.014786324786*1.17</f>
        <v>1.7299999999619998E-2</v>
      </c>
    </row>
    <row r="104" spans="1:35">
      <c r="B104" s="97" t="s">
        <v>92</v>
      </c>
    </row>
    <row r="105" spans="1:35">
      <c r="B105" s="97" t="s">
        <v>248</v>
      </c>
      <c r="G105" s="59">
        <v>40</v>
      </c>
      <c r="H105" s="59">
        <v>1.5599999999999999E-2</v>
      </c>
      <c r="J105" s="59">
        <v>60</v>
      </c>
      <c r="K105" s="60">
        <v>1.5599999999999999E-2</v>
      </c>
      <c r="M105" s="59">
        <f>10+15+15</f>
        <v>40</v>
      </c>
      <c r="N105" s="66">
        <v>1.5599999999999999E-2</v>
      </c>
      <c r="V105" s="59">
        <v>25</v>
      </c>
      <c r="W105" s="59">
        <v>1.5599999999999999E-2</v>
      </c>
      <c r="AC105" s="60"/>
      <c r="AH105" s="59">
        <v>100</v>
      </c>
      <c r="AI105" s="60">
        <f>0.013333333333*1.17</f>
        <v>1.5599999999609999E-2</v>
      </c>
    </row>
    <row r="106" spans="1:35">
      <c r="B106" s="97" t="s">
        <v>95</v>
      </c>
      <c r="L106" s="67"/>
    </row>
    <row r="107" spans="1:35">
      <c r="B107" s="97" t="s">
        <v>263</v>
      </c>
      <c r="L107" s="67"/>
      <c r="AF107" s="60"/>
    </row>
    <row r="108" spans="1:35">
      <c r="B108" s="97" t="s">
        <v>94</v>
      </c>
      <c r="L108" s="67"/>
      <c r="S108" s="59">
        <v>1</v>
      </c>
      <c r="T108" s="60">
        <v>4.8000000000000001E-2</v>
      </c>
    </row>
    <row r="109" spans="1:35">
      <c r="B109" s="97" t="s">
        <v>89</v>
      </c>
      <c r="L109" s="67"/>
    </row>
    <row r="110" spans="1:35">
      <c r="B110" s="97" t="s">
        <v>246</v>
      </c>
      <c r="J110" s="59">
        <v>6</v>
      </c>
      <c r="K110" s="60">
        <v>3.4500000000000003E-2</v>
      </c>
      <c r="L110" s="67"/>
      <c r="M110" s="59">
        <v>4.5</v>
      </c>
      <c r="N110" s="66">
        <v>3.4500000000000003E-2</v>
      </c>
      <c r="Q110" s="93"/>
      <c r="V110" s="59">
        <v>9</v>
      </c>
      <c r="W110" s="59">
        <v>3.4500000000000003E-2</v>
      </c>
      <c r="AH110" s="59">
        <v>4.5</v>
      </c>
      <c r="AI110" s="59">
        <f>0.029487179487*1.17</f>
        <v>3.4499999999789997E-2</v>
      </c>
    </row>
    <row r="111" spans="1:35">
      <c r="B111" s="97" t="s">
        <v>236</v>
      </c>
      <c r="E111" s="59"/>
      <c r="M111" s="57"/>
      <c r="N111" s="101"/>
      <c r="P111" s="57"/>
      <c r="Q111" s="92"/>
    </row>
    <row r="112" spans="1:35">
      <c r="B112" s="97" t="s">
        <v>83</v>
      </c>
      <c r="L112" s="67"/>
    </row>
    <row r="113" spans="1:39" s="69" customFormat="1">
      <c r="A113" s="67"/>
      <c r="B113" s="100" t="s">
        <v>97</v>
      </c>
      <c r="C113" s="68"/>
      <c r="E113" s="70"/>
      <c r="F113" s="67"/>
      <c r="H113" s="70"/>
      <c r="I113" s="67"/>
      <c r="K113" s="70"/>
      <c r="L113" s="67"/>
      <c r="N113" s="71"/>
      <c r="O113" s="67"/>
      <c r="Q113" s="70"/>
      <c r="R113" s="67"/>
      <c r="T113" s="70"/>
      <c r="U113" s="67"/>
      <c r="X113" s="72"/>
      <c r="AA113" s="67"/>
      <c r="AD113" s="72"/>
      <c r="AG113" s="67"/>
      <c r="AJ113" s="67"/>
      <c r="AM113" s="67"/>
    </row>
    <row r="114" spans="1:39">
      <c r="B114" s="97" t="s">
        <v>75</v>
      </c>
    </row>
    <row r="115" spans="1:39">
      <c r="B115" s="97" t="s">
        <v>102</v>
      </c>
    </row>
    <row r="116" spans="1:39">
      <c r="B116" s="97" t="s">
        <v>245</v>
      </c>
      <c r="D116" s="58">
        <v>49.2</v>
      </c>
      <c r="E116" s="66">
        <f>0.048547008547*1.17</f>
        <v>5.6799999999989997E-2</v>
      </c>
      <c r="M116" s="59">
        <f>0.6+29.4</f>
        <v>30</v>
      </c>
      <c r="N116" s="60">
        <v>5.6800000000000003E-2</v>
      </c>
      <c r="Q116" s="66"/>
      <c r="S116" s="59">
        <v>16.2</v>
      </c>
      <c r="T116" s="60">
        <v>5.6800000000000003E-2</v>
      </c>
      <c r="W116" s="66"/>
      <c r="Z116" s="66"/>
      <c r="AH116" s="59">
        <v>60.6</v>
      </c>
      <c r="AI116" s="66">
        <f>0.048547008547*1.17</f>
        <v>5.6799999999989997E-2</v>
      </c>
    </row>
    <row r="117" spans="1:39">
      <c r="B117" s="97" t="s">
        <v>259</v>
      </c>
      <c r="H117" s="59"/>
      <c r="V117" s="59">
        <v>3.6</v>
      </c>
      <c r="W117" s="59">
        <v>3.7499999999999999E-2</v>
      </c>
    </row>
    <row r="118" spans="1:39">
      <c r="B118" s="97" t="s">
        <v>74</v>
      </c>
    </row>
    <row r="119" spans="1:39">
      <c r="B119" s="97" t="s">
        <v>103</v>
      </c>
    </row>
    <row r="120" spans="1:39">
      <c r="B120" s="97" t="s">
        <v>104</v>
      </c>
    </row>
    <row r="121" spans="1:39">
      <c r="B121" s="97" t="s">
        <v>242</v>
      </c>
      <c r="N121" s="60"/>
      <c r="AH121" s="59">
        <v>1</v>
      </c>
      <c r="AI121" s="60">
        <f>0.085299145299*1.17</f>
        <v>9.9799999999829997E-2</v>
      </c>
    </row>
    <row r="122" spans="1:39">
      <c r="B122" s="97" t="s">
        <v>274</v>
      </c>
      <c r="D122" s="59">
        <v>1.2</v>
      </c>
      <c r="E122" s="60">
        <f>0.092136752137*1.17</f>
        <v>0.10780000000028998</v>
      </c>
      <c r="S122" s="59">
        <v>1.2</v>
      </c>
      <c r="T122" s="60">
        <v>0.10780000000000001</v>
      </c>
    </row>
    <row r="123" spans="1:39">
      <c r="B123" s="97" t="s">
        <v>258</v>
      </c>
    </row>
    <row r="124" spans="1:39">
      <c r="B124" s="97" t="s">
        <v>78</v>
      </c>
    </row>
    <row r="125" spans="1:39">
      <c r="B125" s="97" t="s">
        <v>77</v>
      </c>
    </row>
    <row r="126" spans="1:39">
      <c r="B126" s="97" t="s">
        <v>99</v>
      </c>
    </row>
    <row r="127" spans="1:39">
      <c r="B127" s="97" t="s">
        <v>98</v>
      </c>
      <c r="S127" s="59">
        <v>0.52</v>
      </c>
      <c r="T127" s="60">
        <v>0.53920000000000001</v>
      </c>
      <c r="AI127" s="60"/>
    </row>
    <row r="128" spans="1:39">
      <c r="B128" s="97" t="s">
        <v>86</v>
      </c>
    </row>
    <row r="129" spans="1:39">
      <c r="B129" s="97" t="s">
        <v>87</v>
      </c>
    </row>
    <row r="130" spans="1:39">
      <c r="B130" s="97" t="s">
        <v>79</v>
      </c>
    </row>
    <row r="131" spans="1:39">
      <c r="B131" s="97" t="s">
        <v>256</v>
      </c>
      <c r="G131" s="59">
        <v>1.04</v>
      </c>
      <c r="H131" s="60">
        <v>0.45</v>
      </c>
      <c r="J131" s="59">
        <v>2.4</v>
      </c>
      <c r="K131" s="60">
        <v>0.45</v>
      </c>
      <c r="AH131" s="59">
        <v>2</v>
      </c>
      <c r="AI131" s="59">
        <f>0.38461538462*1.17</f>
        <v>0.45000000000539997</v>
      </c>
    </row>
    <row r="132" spans="1:39" s="69" customFormat="1">
      <c r="A132" s="67" t="s">
        <v>106</v>
      </c>
      <c r="B132" s="100" t="s">
        <v>107</v>
      </c>
      <c r="C132" s="68"/>
      <c r="E132" s="70"/>
      <c r="F132" s="67"/>
      <c r="H132" s="70"/>
      <c r="I132" s="67"/>
      <c r="K132" s="70"/>
      <c r="L132" s="67"/>
      <c r="N132" s="71"/>
      <c r="O132" s="67"/>
      <c r="Q132" s="70"/>
      <c r="R132" s="67"/>
      <c r="T132" s="70"/>
      <c r="U132" s="67"/>
      <c r="X132" s="72"/>
      <c r="AA132" s="67"/>
      <c r="AD132" s="72"/>
      <c r="AG132" s="67"/>
      <c r="AJ132" s="67"/>
      <c r="AM132" s="67"/>
    </row>
    <row r="133" spans="1:39">
      <c r="B133" s="97" t="s">
        <v>108</v>
      </c>
      <c r="AD133" s="72"/>
    </row>
    <row r="134" spans="1:39">
      <c r="B134" s="97" t="s">
        <v>109</v>
      </c>
      <c r="AD134" s="72"/>
    </row>
    <row r="135" spans="1:39">
      <c r="B135" s="97" t="s">
        <v>110</v>
      </c>
      <c r="AD135" s="72"/>
    </row>
    <row r="136" spans="1:39">
      <c r="B136" s="97" t="s">
        <v>111</v>
      </c>
    </row>
    <row r="137" spans="1:39">
      <c r="B137" s="97" t="s">
        <v>191</v>
      </c>
    </row>
    <row r="138" spans="1:39">
      <c r="B138" s="97" t="s">
        <v>168</v>
      </c>
    </row>
    <row r="139" spans="1:39">
      <c r="B139" s="97" t="s">
        <v>169</v>
      </c>
    </row>
    <row r="140" spans="1:39">
      <c r="B140" s="97" t="s">
        <v>192</v>
      </c>
    </row>
    <row r="141" spans="1:39">
      <c r="B141" s="97" t="s">
        <v>183</v>
      </c>
    </row>
    <row r="142" spans="1:39">
      <c r="B142" s="97" t="s">
        <v>112</v>
      </c>
    </row>
    <row r="143" spans="1:39">
      <c r="B143" s="97" t="s">
        <v>113</v>
      </c>
    </row>
    <row r="145" spans="1:39" s="69" customFormat="1">
      <c r="A145" s="67"/>
      <c r="B145" s="68"/>
      <c r="C145" s="68"/>
      <c r="E145" s="70"/>
      <c r="F145" s="67"/>
      <c r="H145" s="70"/>
      <c r="I145" s="67"/>
      <c r="K145" s="70"/>
      <c r="L145" s="67"/>
      <c r="N145" s="71"/>
      <c r="O145" s="67"/>
      <c r="Q145" s="70"/>
      <c r="R145" s="67"/>
      <c r="T145" s="70"/>
      <c r="U145" s="67"/>
      <c r="X145" s="72"/>
      <c r="AA145" s="67"/>
      <c r="AD145" s="72"/>
      <c r="AG145" s="67"/>
      <c r="AJ145" s="67"/>
      <c r="AM145" s="67"/>
    </row>
    <row r="147" spans="1:39" s="69" customFormat="1">
      <c r="A147" s="67" t="s">
        <v>130</v>
      </c>
      <c r="B147" s="100" t="s">
        <v>122</v>
      </c>
      <c r="C147" s="68"/>
      <c r="E147" s="70"/>
      <c r="F147" s="67"/>
      <c r="H147" s="70"/>
      <c r="I147" s="67"/>
      <c r="K147" s="70"/>
      <c r="L147" s="67"/>
      <c r="N147" s="71"/>
      <c r="O147" s="67"/>
      <c r="Q147" s="70"/>
      <c r="R147" s="67"/>
      <c r="T147" s="70"/>
      <c r="U147" s="67"/>
      <c r="X147" s="72"/>
      <c r="AA147" s="67"/>
      <c r="AD147" s="72"/>
      <c r="AG147" s="67"/>
      <c r="AJ147" s="67"/>
      <c r="AM147" s="67"/>
    </row>
    <row r="148" spans="1:39">
      <c r="B148" s="97" t="s">
        <v>123</v>
      </c>
    </row>
    <row r="149" spans="1:39">
      <c r="B149" s="97" t="s">
        <v>124</v>
      </c>
      <c r="D149" s="59">
        <v>1000</v>
      </c>
      <c r="E149" s="60">
        <f>0.905982906*1.17</f>
        <v>1.0600000000199998</v>
      </c>
      <c r="V149" s="59">
        <v>500</v>
      </c>
      <c r="W149" s="66">
        <f>0.6068376068*1.17</f>
        <v>0.70999999995599994</v>
      </c>
      <c r="Y149" s="59">
        <v>500</v>
      </c>
      <c r="Z149" s="66">
        <f>0.6068376068*1.17</f>
        <v>0.70999999995599994</v>
      </c>
    </row>
    <row r="150" spans="1:39">
      <c r="B150" s="97" t="s">
        <v>125</v>
      </c>
      <c r="D150" s="59">
        <v>500</v>
      </c>
      <c r="E150" s="60">
        <f>1.4615384615*1.17</f>
        <v>1.709999999955</v>
      </c>
      <c r="V150" s="59">
        <v>500</v>
      </c>
      <c r="W150" s="60">
        <f>0.9743589744*1.17</f>
        <v>1.140000000048</v>
      </c>
      <c r="Y150" s="59">
        <v>500</v>
      </c>
      <c r="Z150" s="60">
        <f>0.9743589744*1.17</f>
        <v>1.140000000048</v>
      </c>
      <c r="AB150" s="59">
        <v>500</v>
      </c>
      <c r="AC150" s="60">
        <f>0.9743589744*1.17</f>
        <v>1.140000000048</v>
      </c>
    </row>
    <row r="151" spans="1:39">
      <c r="B151" s="97" t="s">
        <v>126</v>
      </c>
    </row>
    <row r="152" spans="1:39">
      <c r="B152" s="97" t="s">
        <v>202</v>
      </c>
    </row>
    <row r="153" spans="1:39">
      <c r="B153" s="97" t="s">
        <v>184</v>
      </c>
    </row>
    <row r="154" spans="1:39">
      <c r="B154" s="97" t="s">
        <v>244</v>
      </c>
      <c r="V154" s="59">
        <v>100</v>
      </c>
      <c r="W154" s="66">
        <f>1.3675213675*1.17</f>
        <v>1.5999999999749999</v>
      </c>
    </row>
    <row r="155" spans="1:39">
      <c r="B155" s="97" t="s">
        <v>254</v>
      </c>
      <c r="V155" s="59">
        <v>100</v>
      </c>
      <c r="W155" s="66">
        <f>2.1367521368*1.17</f>
        <v>2.5000000000560001</v>
      </c>
    </row>
    <row r="156" spans="1:39">
      <c r="B156" s="97" t="s">
        <v>127</v>
      </c>
    </row>
    <row r="157" spans="1:39">
      <c r="B157" s="97" t="s">
        <v>131</v>
      </c>
    </row>
    <row r="158" spans="1:39">
      <c r="B158" s="97" t="s">
        <v>147</v>
      </c>
      <c r="D158" s="59">
        <v>3508</v>
      </c>
      <c r="E158" s="59">
        <f>1.7008547009*1.17</f>
        <v>1.9900000000529998</v>
      </c>
      <c r="H158" s="59"/>
      <c r="Q158" s="66"/>
      <c r="Y158" s="59">
        <v>800</v>
      </c>
      <c r="Z158" s="66">
        <f>1.1367521368*1.17</f>
        <v>1.3300000000559999</v>
      </c>
      <c r="AB158" s="59">
        <v>400</v>
      </c>
      <c r="AC158" s="66">
        <f>1.1367521368*1.17</f>
        <v>1.3300000000559999</v>
      </c>
      <c r="AE158" s="59">
        <v>1820</v>
      </c>
      <c r="AF158" s="66">
        <f>1.1367521368*1.17</f>
        <v>1.3300000000559999</v>
      </c>
      <c r="AH158" s="59">
        <v>1765</v>
      </c>
      <c r="AI158" s="66">
        <f>1.1367521368*1.17</f>
        <v>1.3300000000559999</v>
      </c>
    </row>
    <row r="159" spans="1:39">
      <c r="B159" s="97" t="s">
        <v>148</v>
      </c>
      <c r="AB159" s="59">
        <v>400</v>
      </c>
      <c r="AC159" s="66">
        <f>1.1367521368*1.17</f>
        <v>1.3300000000559999</v>
      </c>
    </row>
    <row r="160" spans="1:39">
      <c r="B160" s="97" t="s">
        <v>217</v>
      </c>
    </row>
    <row r="161" spans="1:39">
      <c r="B161" s="97" t="s">
        <v>255</v>
      </c>
      <c r="V161" s="59">
        <v>100</v>
      </c>
      <c r="W161" s="59">
        <f>2.6495726496*1.17</f>
        <v>3.1000000000319998</v>
      </c>
    </row>
    <row r="162" spans="1:39">
      <c r="B162" s="97" t="s">
        <v>128</v>
      </c>
      <c r="D162" s="59">
        <v>1062</v>
      </c>
      <c r="E162" s="59">
        <f>3.8974358974*1.17</f>
        <v>4.5599999999579994</v>
      </c>
      <c r="H162" s="59"/>
      <c r="Q162" s="66"/>
      <c r="V162" s="59">
        <v>500</v>
      </c>
      <c r="W162" s="66">
        <f>2.5982905983*1.17</f>
        <v>3.0400000000110001</v>
      </c>
      <c r="Y162" s="59">
        <v>500</v>
      </c>
      <c r="Z162" s="66">
        <f>2.5982905983*1.17</f>
        <v>3.0400000000110001</v>
      </c>
      <c r="AB162" s="61"/>
      <c r="AE162" s="59">
        <v>800</v>
      </c>
      <c r="AF162" s="66">
        <f>2.5982905983*1.17</f>
        <v>3.0400000000110001</v>
      </c>
      <c r="AH162" s="59">
        <v>202</v>
      </c>
      <c r="AI162" s="66">
        <f>2.5982905983*1.17</f>
        <v>3.0400000000110001</v>
      </c>
    </row>
    <row r="163" spans="1:39">
      <c r="B163" s="97" t="s">
        <v>129</v>
      </c>
      <c r="T163" s="59"/>
    </row>
    <row r="164" spans="1:39">
      <c r="B164" s="97" t="s">
        <v>253</v>
      </c>
      <c r="T164" s="59"/>
      <c r="V164" s="59">
        <v>100</v>
      </c>
      <c r="W164" s="66">
        <f>3.8974358974*1.17</f>
        <v>4.5599999999579994</v>
      </c>
      <c r="Y164" s="59">
        <v>100</v>
      </c>
      <c r="Z164" s="66">
        <f>3.8974358974*1.17</f>
        <v>4.5599999999579994</v>
      </c>
    </row>
    <row r="165" spans="1:39">
      <c r="B165" s="97" t="s">
        <v>145</v>
      </c>
      <c r="E165" s="59"/>
      <c r="H165" s="59"/>
      <c r="Q165" s="66"/>
      <c r="T165" s="59"/>
      <c r="AB165" s="59">
        <v>60</v>
      </c>
      <c r="AC165" s="66">
        <f>3.8974358974*1.17</f>
        <v>4.5599999999579994</v>
      </c>
      <c r="AE165" s="59">
        <v>130</v>
      </c>
      <c r="AF165" s="66">
        <f>3.8974358974*1.17</f>
        <v>4.5599999999579994</v>
      </c>
      <c r="AH165" s="59">
        <v>271</v>
      </c>
      <c r="AI165" s="66">
        <f>3.8974358974*1.17</f>
        <v>4.5599999999579994</v>
      </c>
    </row>
    <row r="166" spans="1:39">
      <c r="B166" s="97" t="s">
        <v>160</v>
      </c>
    </row>
    <row r="167" spans="1:39">
      <c r="B167" s="97" t="s">
        <v>146</v>
      </c>
      <c r="W167" s="102"/>
      <c r="AB167" s="59">
        <v>100</v>
      </c>
      <c r="AC167" s="66">
        <f>4.22222222*1.17</f>
        <v>4.9399999973999993</v>
      </c>
    </row>
    <row r="168" spans="1:39">
      <c r="B168" s="97"/>
    </row>
    <row r="169" spans="1:39">
      <c r="F169" s="103"/>
    </row>
    <row r="171" spans="1:39" s="69" customFormat="1">
      <c r="A171" s="67"/>
      <c r="B171" s="95"/>
      <c r="C171" s="68"/>
      <c r="E171" s="70"/>
      <c r="F171" s="67"/>
      <c r="H171" s="70"/>
      <c r="I171" s="67"/>
      <c r="K171" s="70"/>
      <c r="L171" s="67"/>
      <c r="N171" s="71"/>
      <c r="O171" s="67"/>
      <c r="Q171" s="70"/>
      <c r="R171" s="67"/>
      <c r="T171" s="70"/>
      <c r="U171" s="67"/>
      <c r="X171" s="72"/>
      <c r="AA171" s="67"/>
      <c r="AD171" s="72"/>
      <c r="AG171" s="67"/>
      <c r="AJ171" s="67"/>
      <c r="AM171" s="67"/>
    </row>
    <row r="172" spans="1:39" s="69" customFormat="1">
      <c r="A172" s="67" t="s">
        <v>138</v>
      </c>
      <c r="B172" s="100" t="s">
        <v>136</v>
      </c>
      <c r="C172" s="68"/>
      <c r="E172" s="70"/>
      <c r="F172" s="67"/>
      <c r="G172" s="69">
        <v>14700</v>
      </c>
      <c r="H172" s="70">
        <f>0.4102564103*1.17</f>
        <v>0.48000000005099996</v>
      </c>
      <c r="I172" s="67"/>
      <c r="K172" s="70"/>
      <c r="L172" s="67"/>
      <c r="N172" s="71"/>
      <c r="O172" s="67"/>
      <c r="Q172" s="70"/>
      <c r="R172" s="67"/>
      <c r="T172" s="70"/>
      <c r="U172" s="67"/>
      <c r="X172" s="72"/>
      <c r="Y172" s="69">
        <v>8820</v>
      </c>
      <c r="Z172" s="70">
        <f>0.4102564103*1.17</f>
        <v>0.48000000005099996</v>
      </c>
      <c r="AA172" s="67"/>
      <c r="AB172" s="69">
        <v>14700</v>
      </c>
      <c r="AC172" s="70">
        <f>0.4102564103*1.17</f>
        <v>0.48000000005099996</v>
      </c>
      <c r="AD172" s="72"/>
      <c r="AE172" s="69">
        <v>8820</v>
      </c>
      <c r="AF172" s="70">
        <f>0.4102564103*1.17</f>
        <v>0.48000000005099996</v>
      </c>
      <c r="AG172" s="67"/>
      <c r="AH172" s="69">
        <v>8820</v>
      </c>
      <c r="AI172" s="70">
        <f>0.4102564103*1.17</f>
        <v>0.48000000005099996</v>
      </c>
      <c r="AJ172" s="67"/>
      <c r="AK172" s="69">
        <v>11760</v>
      </c>
      <c r="AL172" s="70">
        <f>0.4102564103*1.17</f>
        <v>0.48000000005099996</v>
      </c>
      <c r="AM172" s="67"/>
    </row>
    <row r="173" spans="1:39" s="90" customFormat="1">
      <c r="A173" s="57"/>
      <c r="B173" s="100" t="s">
        <v>250</v>
      </c>
      <c r="C173" s="58"/>
      <c r="E173" s="104"/>
      <c r="F173" s="57"/>
      <c r="H173" s="104"/>
      <c r="I173" s="57"/>
      <c r="K173" s="104"/>
      <c r="L173" s="57"/>
      <c r="N173" s="105"/>
      <c r="O173" s="57"/>
      <c r="Q173" s="104"/>
      <c r="R173" s="57"/>
      <c r="T173" s="104"/>
      <c r="U173" s="57"/>
      <c r="X173" s="65"/>
      <c r="AA173" s="57"/>
      <c r="AD173" s="65"/>
      <c r="AG173" s="57"/>
      <c r="AJ173" s="57"/>
      <c r="AK173" s="90">
        <v>1020</v>
      </c>
      <c r="AL173" s="90">
        <f>0.5128205128*1.17</f>
        <v>0.59999999997599995</v>
      </c>
      <c r="AM173" s="57"/>
    </row>
    <row r="174" spans="1:39">
      <c r="B174" s="97" t="s">
        <v>137</v>
      </c>
    </row>
    <row r="175" spans="1:39" s="108" customFormat="1">
      <c r="A175" s="106"/>
      <c r="B175" s="97" t="s">
        <v>177</v>
      </c>
      <c r="C175" s="107"/>
      <c r="E175" s="109"/>
      <c r="F175" s="106"/>
      <c r="H175" s="109"/>
      <c r="I175" s="106"/>
      <c r="K175" s="109"/>
      <c r="L175" s="106"/>
      <c r="N175" s="110"/>
      <c r="O175" s="106"/>
      <c r="Q175" s="109"/>
      <c r="R175" s="106"/>
      <c r="T175" s="109"/>
      <c r="U175" s="106"/>
      <c r="X175" s="111"/>
      <c r="AA175" s="106"/>
      <c r="AD175" s="111"/>
      <c r="AG175" s="106"/>
      <c r="AJ175" s="106"/>
      <c r="AM175" s="106"/>
    </row>
    <row r="177" spans="1:39" s="108" customFormat="1">
      <c r="A177" s="106"/>
      <c r="B177" s="107"/>
      <c r="C177" s="107"/>
      <c r="E177" s="109"/>
      <c r="F177" s="106"/>
      <c r="H177" s="109"/>
      <c r="I177" s="106"/>
      <c r="K177" s="109"/>
      <c r="L177" s="106"/>
      <c r="N177" s="110"/>
      <c r="O177" s="106"/>
      <c r="Q177" s="109"/>
      <c r="R177" s="106"/>
      <c r="T177" s="109"/>
      <c r="U177" s="106"/>
      <c r="X177" s="111"/>
      <c r="AA177" s="106"/>
      <c r="AD177" s="111"/>
      <c r="AG177" s="106"/>
      <c r="AJ177" s="106"/>
      <c r="AM177" s="106"/>
    </row>
  </sheetData>
  <mergeCells count="12">
    <mergeCell ref="AK1:AM1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</vt:lpstr>
      <vt:lpstr>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2017-07-26T01:04:45Z</dcterms:modified>
</cp:coreProperties>
</file>